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filterPrivacy="1" codeName="ThisWorkbook"/>
  <xr:revisionPtr revIDLastSave="0" documentId="8_{B4B59FEF-3964-4AF2-B072-546F32225D68}" xr6:coauthVersionLast="43" xr6:coauthVersionMax="43" xr10:uidLastSave="{00000000-0000-0000-0000-000000000000}"/>
  <bookViews>
    <workbookView xWindow="-120" yWindow="-120" windowWidth="29040" windowHeight="15840" xr2:uid="{00000000-000D-0000-FFFF-FFFF00000000}"/>
  </bookViews>
  <sheets>
    <sheet name="CoverSheet" sheetId="13" r:id="rId1"/>
    <sheet name="Table of Contents" sheetId="14" r:id="rId2"/>
    <sheet name="Description" sheetId="10" r:id="rId3"/>
    <sheet name="Equivalence calculations" sheetId="12" r:id="rId4"/>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Pal_Workbook_GUID" hidden="1">"6S1JHEHENLE191V518WIWCLK"</definedName>
    <definedName name="_xlnm.Print_Area" localSheetId="0">CoverSheet!$A$1:$D$18</definedName>
    <definedName name="_xlnm.Print_Area" localSheetId="3">'Equivalence calculations'!$A$1:$AM$91</definedName>
    <definedName name="_xlnm.Print_Area" localSheetId="1">'Table of Contents'!$A$1:$D$14</definedName>
    <definedName name="RiskAfterRecalcMacro" hidden="1">""</definedName>
    <definedName name="RiskAfterSimMacro" hidden="1">""</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Z_2F530BD0_D284_4ADF_AC7F_C1C966DD4D52_.wvu.PrintArea" localSheetId="0" hidden="1">CoverSheet!$A$1:$D$18</definedName>
  </definedNames>
  <calcPr calcId="191029" calcMode="autoNoTable"/>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30" i="12" l="1"/>
  <c r="A30" i="12"/>
  <c r="O27" i="12" l="1"/>
  <c r="P27" i="12"/>
  <c r="Q27" i="12"/>
  <c r="R27" i="12"/>
  <c r="S27" i="12"/>
  <c r="T27" i="12"/>
  <c r="U27" i="12"/>
  <c r="O29" i="12"/>
  <c r="P29" i="12"/>
  <c r="Q29" i="12"/>
  <c r="R29" i="12"/>
  <c r="S29" i="12"/>
  <c r="T29" i="12"/>
  <c r="U29" i="12"/>
  <c r="R28" i="12" l="1"/>
  <c r="Q28" i="12"/>
  <c r="T28" i="12"/>
  <c r="P28" i="12"/>
  <c r="U28" i="12"/>
  <c r="S28" i="12"/>
  <c r="O28" i="12"/>
  <c r="D36" i="12"/>
  <c r="D43" i="12" s="1"/>
  <c r="E36" i="12" l="1"/>
  <c r="E43" i="12" s="1"/>
  <c r="F36" i="12" l="1"/>
  <c r="F43" i="12" s="1"/>
  <c r="E27" i="12"/>
  <c r="F27" i="12"/>
  <c r="G27" i="12"/>
  <c r="H27" i="12"/>
  <c r="I27" i="12"/>
  <c r="J27" i="12"/>
  <c r="K27" i="12"/>
  <c r="L27" i="12"/>
  <c r="M27" i="12"/>
  <c r="N27" i="12"/>
  <c r="D27" i="12"/>
  <c r="C32" i="12" l="1"/>
  <c r="C89" i="12" s="1"/>
  <c r="G36" i="12"/>
  <c r="G43" i="12" s="1"/>
  <c r="D28" i="12"/>
  <c r="H28" i="12"/>
  <c r="K28" i="12"/>
  <c r="G28" i="12"/>
  <c r="N28" i="12"/>
  <c r="J28" i="12"/>
  <c r="F28" i="12"/>
  <c r="L28" i="12"/>
  <c r="M28" i="12"/>
  <c r="I28" i="12"/>
  <c r="E28" i="12"/>
  <c r="E12" i="10"/>
  <c r="C30" i="12" l="1"/>
  <c r="H36" i="12"/>
  <c r="H43" i="12" s="1"/>
  <c r="N29" i="12"/>
  <c r="M29" i="12"/>
  <c r="F29" i="12"/>
  <c r="K29" i="12"/>
  <c r="E29" i="12"/>
  <c r="I29" i="12"/>
  <c r="D29" i="12"/>
  <c r="H29" i="12"/>
  <c r="J29" i="12"/>
  <c r="L29" i="12"/>
  <c r="G29" i="12"/>
  <c r="I36" i="12" l="1"/>
  <c r="I43" i="12" s="1"/>
  <c r="D37" i="12"/>
  <c r="D53" i="12" l="1"/>
  <c r="D54" i="12" s="1"/>
  <c r="D44" i="12"/>
  <c r="J36" i="12"/>
  <c r="J43" i="12" s="1"/>
  <c r="D38" i="12"/>
  <c r="D78" i="12" l="1"/>
  <c r="D68" i="12"/>
  <c r="D76" i="12"/>
  <c r="D39" i="12"/>
  <c r="E37" i="12" s="1"/>
  <c r="E38" i="12" s="1"/>
  <c r="D55" i="12"/>
  <c r="D45" i="12"/>
  <c r="D50" i="12" s="1"/>
  <c r="D60" i="12"/>
  <c r="D65" i="12" s="1"/>
  <c r="D69" i="12"/>
  <c r="E53" i="12"/>
  <c r="E54" i="12" s="1"/>
  <c r="K36" i="12"/>
  <c r="K43" i="12" s="1"/>
  <c r="D57" i="12" l="1"/>
  <c r="D67" i="12" s="1"/>
  <c r="D75" i="12"/>
  <c r="D46" i="12"/>
  <c r="E44" i="12" s="1"/>
  <c r="E60" i="12" s="1"/>
  <c r="E65" i="12" s="1"/>
  <c r="D66" i="12"/>
  <c r="E68" i="12"/>
  <c r="E76" i="12"/>
  <c r="E39" i="12"/>
  <c r="F37" i="12" s="1"/>
  <c r="F38" i="12" s="1"/>
  <c r="D61" i="12"/>
  <c r="E55" i="12"/>
  <c r="F53" i="12" s="1"/>
  <c r="F54" i="12" s="1"/>
  <c r="L36" i="12"/>
  <c r="F76" i="12" l="1"/>
  <c r="E78" i="12"/>
  <c r="E45" i="12"/>
  <c r="D77" i="12"/>
  <c r="D80" i="12" s="1"/>
  <c r="E69" i="12"/>
  <c r="F68" i="12"/>
  <c r="F39" i="12"/>
  <c r="G37" i="12" s="1"/>
  <c r="G38" i="12" s="1"/>
  <c r="D62" i="12"/>
  <c r="D63" i="12" s="1"/>
  <c r="F55" i="12"/>
  <c r="G53" i="12" s="1"/>
  <c r="G54" i="12" s="1"/>
  <c r="M36" i="12"/>
  <c r="L43" i="12"/>
  <c r="E50" i="12" l="1"/>
  <c r="E57" i="12"/>
  <c r="E46" i="12"/>
  <c r="F44" i="12" s="1"/>
  <c r="F78" i="12" s="1"/>
  <c r="E61" i="12"/>
  <c r="E75" i="12"/>
  <c r="E66" i="12"/>
  <c r="D82" i="12"/>
  <c r="D83" i="12" s="1"/>
  <c r="E77" i="12"/>
  <c r="G68" i="12"/>
  <c r="G76" i="12"/>
  <c r="G39" i="12"/>
  <c r="H37" i="12" s="1"/>
  <c r="H38" i="12" s="1"/>
  <c r="E67" i="12"/>
  <c r="E62" i="12" s="1"/>
  <c r="E63" i="12" s="1"/>
  <c r="G55" i="12"/>
  <c r="H53" i="12" s="1"/>
  <c r="H54" i="12" s="1"/>
  <c r="N36" i="12"/>
  <c r="N43" i="12" s="1"/>
  <c r="M43" i="12"/>
  <c r="F69" i="12" l="1"/>
  <c r="F60" i="12"/>
  <c r="F65" i="12" s="1"/>
  <c r="F45" i="12"/>
  <c r="E80" i="12"/>
  <c r="E82" i="12" s="1"/>
  <c r="E83" i="12" s="1"/>
  <c r="H39" i="12"/>
  <c r="I37" i="12" s="1"/>
  <c r="I38" i="12" s="1"/>
  <c r="H68" i="12"/>
  <c r="H76" i="12"/>
  <c r="F66" i="12"/>
  <c r="F61" i="12"/>
  <c r="H55" i="12"/>
  <c r="I53" i="12" s="1"/>
  <c r="O36" i="12"/>
  <c r="O43" i="12" s="1"/>
  <c r="F46" i="12"/>
  <c r="G44" i="12" s="1"/>
  <c r="F50" i="12" l="1"/>
  <c r="F57" i="12"/>
  <c r="I39" i="12"/>
  <c r="J37" i="12" s="1"/>
  <c r="J38" i="12" s="1"/>
  <c r="F75" i="12"/>
  <c r="F77" i="12"/>
  <c r="F67" i="12"/>
  <c r="G69" i="12"/>
  <c r="G78" i="12"/>
  <c r="I54" i="12"/>
  <c r="G60" i="12"/>
  <c r="G65" i="12" s="1"/>
  <c r="G45" i="12"/>
  <c r="P36" i="12"/>
  <c r="P43" i="12" s="1"/>
  <c r="J39" i="12" l="1"/>
  <c r="K37" i="12" s="1"/>
  <c r="G50" i="12"/>
  <c r="G57" i="12"/>
  <c r="F80" i="12"/>
  <c r="I68" i="12"/>
  <c r="I76" i="12"/>
  <c r="G66" i="12"/>
  <c r="G61" i="12"/>
  <c r="I55" i="12"/>
  <c r="J53" i="12" s="1"/>
  <c r="J54" i="12" s="1"/>
  <c r="G75" i="12"/>
  <c r="Q36" i="12"/>
  <c r="Q43" i="12" s="1"/>
  <c r="F62" i="12"/>
  <c r="K38" i="12"/>
  <c r="G46" i="12"/>
  <c r="H44" i="12" s="1"/>
  <c r="G77" i="12" l="1"/>
  <c r="G80" i="12" s="1"/>
  <c r="J68" i="12"/>
  <c r="J76" i="12"/>
  <c r="K39" i="12"/>
  <c r="L37" i="12" s="1"/>
  <c r="L38" i="12" s="1"/>
  <c r="G67" i="12"/>
  <c r="H69" i="12"/>
  <c r="H78" i="12"/>
  <c r="J55" i="12"/>
  <c r="K53" i="12" s="1"/>
  <c r="H60" i="12"/>
  <c r="H65" i="12" s="1"/>
  <c r="H45" i="12"/>
  <c r="R36" i="12"/>
  <c r="R43" i="12" s="1"/>
  <c r="F63" i="12"/>
  <c r="H50" i="12" l="1"/>
  <c r="H57" i="12"/>
  <c r="L39" i="12"/>
  <c r="M37" i="12" s="1"/>
  <c r="H66" i="12"/>
  <c r="F82" i="12"/>
  <c r="F83" i="12" s="1"/>
  <c r="H61" i="12"/>
  <c r="K54" i="12"/>
  <c r="H75" i="12"/>
  <c r="S36" i="12"/>
  <c r="S43" i="12" s="1"/>
  <c r="H46" i="12"/>
  <c r="I44" i="12" s="1"/>
  <c r="H77" i="12" l="1"/>
  <c r="H80" i="12" s="1"/>
  <c r="K68" i="12"/>
  <c r="K76" i="12"/>
  <c r="M38" i="12"/>
  <c r="H67" i="12"/>
  <c r="I69" i="12"/>
  <c r="I78" i="12"/>
  <c r="K55" i="12"/>
  <c r="L53" i="12" s="1"/>
  <c r="L54" i="12" s="1"/>
  <c r="I60" i="12"/>
  <c r="I65" i="12" s="1"/>
  <c r="I45" i="12"/>
  <c r="T36" i="12"/>
  <c r="T43" i="12" s="1"/>
  <c r="G62" i="12"/>
  <c r="G63" i="12" s="1"/>
  <c r="I50" i="12" l="1"/>
  <c r="I57" i="12"/>
  <c r="M39" i="12"/>
  <c r="N37" i="12" s="1"/>
  <c r="N38" i="12" s="1"/>
  <c r="L68" i="12"/>
  <c r="L76" i="12"/>
  <c r="I66" i="12"/>
  <c r="G82" i="12"/>
  <c r="G83" i="12" s="1"/>
  <c r="I61" i="12"/>
  <c r="L55" i="12"/>
  <c r="M53" i="12" s="1"/>
  <c r="M54" i="12" s="1"/>
  <c r="U36" i="12"/>
  <c r="U43" i="12" s="1"/>
  <c r="I75" i="12" l="1"/>
  <c r="N39" i="12"/>
  <c r="O37" i="12" s="1"/>
  <c r="O38" i="12" s="1"/>
  <c r="I77" i="12"/>
  <c r="M68" i="12"/>
  <c r="M76" i="12"/>
  <c r="I67" i="12"/>
  <c r="M55" i="12"/>
  <c r="N53" i="12" s="1"/>
  <c r="H62" i="12"/>
  <c r="H63" i="12" s="1"/>
  <c r="I46" i="12"/>
  <c r="J44" i="12" s="1"/>
  <c r="I80" i="12" l="1"/>
  <c r="O39" i="12"/>
  <c r="P37" i="12" s="1"/>
  <c r="P38" i="12" s="1"/>
  <c r="N54" i="12"/>
  <c r="H82" i="12"/>
  <c r="H83" i="12" s="1"/>
  <c r="J69" i="12"/>
  <c r="J78" i="12"/>
  <c r="J60" i="12"/>
  <c r="J65" i="12" s="1"/>
  <c r="J45" i="12"/>
  <c r="J50" i="12" l="1"/>
  <c r="J57" i="12"/>
  <c r="P39" i="12"/>
  <c r="Q37" i="12" s="1"/>
  <c r="Q38" i="12" s="1"/>
  <c r="N55" i="12"/>
  <c r="O53" i="12" s="1"/>
  <c r="O54" i="12" s="1"/>
  <c r="N68" i="12"/>
  <c r="N76" i="12"/>
  <c r="J66" i="12"/>
  <c r="J61" i="12"/>
  <c r="J75" i="12"/>
  <c r="I62" i="12"/>
  <c r="I63" i="12" s="1"/>
  <c r="J46" i="12"/>
  <c r="K44" i="12" s="1"/>
  <c r="O68" i="12" l="1"/>
  <c r="Q39" i="12"/>
  <c r="R37" i="12" s="1"/>
  <c r="R38" i="12" s="1"/>
  <c r="O76" i="12"/>
  <c r="O55" i="12"/>
  <c r="P53" i="12" s="1"/>
  <c r="P54" i="12" s="1"/>
  <c r="J77" i="12"/>
  <c r="J80" i="12" s="1"/>
  <c r="R39" i="12"/>
  <c r="S37" i="12" s="1"/>
  <c r="S38" i="12" s="1"/>
  <c r="I82" i="12"/>
  <c r="I83" i="12" s="1"/>
  <c r="J67" i="12"/>
  <c r="K45" i="12"/>
  <c r="K78" i="12"/>
  <c r="K69" i="12"/>
  <c r="K60" i="12"/>
  <c r="K65" i="12" s="1"/>
  <c r="K50" i="12" l="1"/>
  <c r="K57" i="12"/>
  <c r="P68" i="12"/>
  <c r="P76" i="12"/>
  <c r="P55" i="12"/>
  <c r="Q53" i="12" s="1"/>
  <c r="Q54" i="12" s="1"/>
  <c r="S39" i="12"/>
  <c r="T37" i="12" s="1"/>
  <c r="T38" i="12" s="1"/>
  <c r="K66" i="12"/>
  <c r="K61" i="12"/>
  <c r="K75" i="12"/>
  <c r="K46" i="12"/>
  <c r="L44" i="12" s="1"/>
  <c r="Q68" i="12" l="1"/>
  <c r="Q55" i="12"/>
  <c r="R53" i="12" s="1"/>
  <c r="R54" i="12" s="1"/>
  <c r="Q76" i="12"/>
  <c r="K77" i="12"/>
  <c r="K80" i="12" s="1"/>
  <c r="T39" i="12"/>
  <c r="U37" i="12" s="1"/>
  <c r="U38" i="12" s="1"/>
  <c r="K67" i="12"/>
  <c r="L69" i="12"/>
  <c r="L78" i="12"/>
  <c r="L60" i="12"/>
  <c r="L65" i="12" s="1"/>
  <c r="L45" i="12"/>
  <c r="J62" i="12"/>
  <c r="J63" i="12" s="1"/>
  <c r="L50" i="12" l="1"/>
  <c r="L57" i="12"/>
  <c r="R55" i="12"/>
  <c r="S53" i="12" s="1"/>
  <c r="S54" i="12" s="1"/>
  <c r="R76" i="12"/>
  <c r="R68" i="12"/>
  <c r="U39" i="12"/>
  <c r="L66" i="12"/>
  <c r="J82" i="12"/>
  <c r="J83" i="12" s="1"/>
  <c r="L61" i="12"/>
  <c r="L75" i="12"/>
  <c r="K62" i="12"/>
  <c r="K63" i="12" s="1"/>
  <c r="L46" i="12"/>
  <c r="M44" i="12" s="1"/>
  <c r="S68" i="12" l="1"/>
  <c r="S55" i="12"/>
  <c r="T53" i="12" s="1"/>
  <c r="T54" i="12" s="1"/>
  <c r="S76" i="12"/>
  <c r="L77" i="12"/>
  <c r="L80" i="12" s="1"/>
  <c r="K82" i="12"/>
  <c r="K83" i="12" s="1"/>
  <c r="L67" i="12"/>
  <c r="M69" i="12"/>
  <c r="M78" i="12"/>
  <c r="M60" i="12"/>
  <c r="M65" i="12" s="1"/>
  <c r="M45" i="12"/>
  <c r="M50" i="12" l="1"/>
  <c r="M57" i="12"/>
  <c r="T68" i="12"/>
  <c r="T76" i="12"/>
  <c r="T55" i="12"/>
  <c r="U53" i="12" s="1"/>
  <c r="U54" i="12" s="1"/>
  <c r="M66" i="12"/>
  <c r="M61" i="12"/>
  <c r="M75" i="12"/>
  <c r="M46" i="12"/>
  <c r="N44" i="12" s="1"/>
  <c r="U55" i="12" l="1"/>
  <c r="N45" i="12"/>
  <c r="N69" i="12"/>
  <c r="N78" i="12"/>
  <c r="N60" i="12"/>
  <c r="N65" i="12" s="1"/>
  <c r="M77" i="12"/>
  <c r="M80" i="12" s="1"/>
  <c r="U68" i="12"/>
  <c r="U76" i="12"/>
  <c r="M67" i="12"/>
  <c r="L62" i="12"/>
  <c r="L63" i="12" s="1"/>
  <c r="N50" i="12" l="1"/>
  <c r="N57" i="12"/>
  <c r="N46" i="12"/>
  <c r="O44" i="12" s="1"/>
  <c r="N61" i="12"/>
  <c r="N66" i="12"/>
  <c r="N75" i="12"/>
  <c r="L82" i="12"/>
  <c r="L83" i="12" s="1"/>
  <c r="O45" i="12" l="1"/>
  <c r="O69" i="12"/>
  <c r="O78" i="12"/>
  <c r="O60" i="12"/>
  <c r="O65" i="12" s="1"/>
  <c r="O46" i="12"/>
  <c r="P44" i="12" s="1"/>
  <c r="N67" i="12"/>
  <c r="N62" i="12" s="1"/>
  <c r="N63" i="12" s="1"/>
  <c r="N77" i="12"/>
  <c r="N80" i="12" s="1"/>
  <c r="M62" i="12"/>
  <c r="M63" i="12" s="1"/>
  <c r="O50" i="12" l="1"/>
  <c r="O75" i="12" s="1"/>
  <c r="O57" i="12"/>
  <c r="O66" i="12"/>
  <c r="O61" i="12"/>
  <c r="P60" i="12"/>
  <c r="P65" i="12" s="1"/>
  <c r="P78" i="12"/>
  <c r="P45" i="12"/>
  <c r="P69" i="12"/>
  <c r="N82" i="12"/>
  <c r="N83" i="12" s="1"/>
  <c r="O67" i="12"/>
  <c r="O62" i="12" s="1"/>
  <c r="M82" i="12"/>
  <c r="M83" i="12" s="1"/>
  <c r="O77" i="12" l="1"/>
  <c r="O80" i="12" s="1"/>
  <c r="O82" i="12" s="1"/>
  <c r="O83" i="12" s="1"/>
  <c r="P50" i="12"/>
  <c r="P57" i="12"/>
  <c r="P67" i="12" s="1"/>
  <c r="O63" i="12"/>
  <c r="P66" i="12"/>
  <c r="P61" i="12"/>
  <c r="P75" i="12"/>
  <c r="P46" i="12"/>
  <c r="Q44" i="12" s="1"/>
  <c r="P77" i="12"/>
  <c r="P62" i="12" l="1"/>
  <c r="P63" i="12" s="1"/>
  <c r="P80" i="12"/>
  <c r="P82" i="12" s="1"/>
  <c r="Q60" i="12"/>
  <c r="Q65" i="12" s="1"/>
  <c r="Q69" i="12"/>
  <c r="Q78" i="12"/>
  <c r="Q45" i="12"/>
  <c r="P83" i="12" l="1"/>
  <c r="Q50" i="12"/>
  <c r="Q57" i="12"/>
  <c r="Q46" i="12"/>
  <c r="R44" i="12" s="1"/>
  <c r="Q66" i="12"/>
  <c r="Q61" i="12"/>
  <c r="Q75" i="12"/>
  <c r="R60" i="12" l="1"/>
  <c r="R65" i="12" s="1"/>
  <c r="R69" i="12"/>
  <c r="R45" i="12"/>
  <c r="R78" i="12"/>
  <c r="Q77" i="12"/>
  <c r="Q80" i="12" s="1"/>
  <c r="Q67" i="12"/>
  <c r="Q62" i="12" s="1"/>
  <c r="Q63" i="12" s="1"/>
  <c r="R50" i="12" l="1"/>
  <c r="R75" i="12" s="1"/>
  <c r="R57" i="12"/>
  <c r="R61" i="12"/>
  <c r="R46" i="12"/>
  <c r="S44" i="12" s="1"/>
  <c r="R77" i="12"/>
  <c r="R66" i="12"/>
  <c r="Q82" i="12"/>
  <c r="Q83" i="12" s="1"/>
  <c r="R67" i="12"/>
  <c r="R62" i="12" s="1"/>
  <c r="R63" i="12" s="1"/>
  <c r="R80" i="12" l="1"/>
  <c r="R82" i="12" s="1"/>
  <c r="R83" i="12" s="1"/>
  <c r="S45" i="12"/>
  <c r="S60" i="12"/>
  <c r="S65" i="12" s="1"/>
  <c r="S78" i="12"/>
  <c r="S69" i="12"/>
  <c r="S46" i="12"/>
  <c r="T44" i="12" s="1"/>
  <c r="S66" i="12"/>
  <c r="S50" i="12" l="1"/>
  <c r="S57" i="12"/>
  <c r="S67" i="12" s="1"/>
  <c r="S62" i="12" s="1"/>
  <c r="S75" i="12"/>
  <c r="S61" i="12"/>
  <c r="S77" i="12"/>
  <c r="T45" i="12"/>
  <c r="T78" i="12"/>
  <c r="T60" i="12"/>
  <c r="T65" i="12" s="1"/>
  <c r="T69" i="12"/>
  <c r="T50" i="12" l="1"/>
  <c r="T57" i="12"/>
  <c r="S63" i="12"/>
  <c r="S80" i="12"/>
  <c r="S82" i="12" s="1"/>
  <c r="S83" i="12" s="1"/>
  <c r="T46" i="12"/>
  <c r="U44" i="12" s="1"/>
  <c r="U45" i="12" s="1"/>
  <c r="T61" i="12"/>
  <c r="T66" i="12"/>
  <c r="T75" i="12"/>
  <c r="U50" i="12" l="1"/>
  <c r="U57" i="12"/>
  <c r="U60" i="12"/>
  <c r="U65" i="12" s="1"/>
  <c r="U69" i="12"/>
  <c r="U46" i="12"/>
  <c r="U78" i="12"/>
  <c r="U75" i="12"/>
  <c r="C47" i="12"/>
  <c r="C48" i="12" s="1"/>
  <c r="U66" i="12"/>
  <c r="U61" i="12"/>
  <c r="T67" i="12"/>
  <c r="T62" i="12" s="1"/>
  <c r="T63" i="12" s="1"/>
  <c r="T77" i="12"/>
  <c r="T80" i="12" s="1"/>
  <c r="T82" i="12" l="1"/>
  <c r="T83" i="12" s="1"/>
  <c r="U77" i="12"/>
  <c r="U80" i="12" s="1"/>
  <c r="U67" i="12"/>
  <c r="U62" i="12" s="1"/>
  <c r="U63" i="12" s="1"/>
  <c r="C72" i="12" s="1"/>
  <c r="C88" i="12" s="1"/>
  <c r="C90" i="12" s="1"/>
  <c r="U82" i="12" l="1"/>
  <c r="U83"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W23" authorId="0" shapeId="0" xr:uid="{D9813C19-E93B-47B8-9F82-8332A2E27419}">
      <text>
        <r>
          <rPr>
            <b/>
            <sz val="9"/>
            <color indexed="81"/>
            <rFont val="Tahoma"/>
            <family val="2"/>
          </rPr>
          <t xml:space="preserve">Ref:
</t>
        </r>
        <r>
          <rPr>
            <sz val="9"/>
            <color indexed="81"/>
            <rFont val="Tahoma"/>
            <family val="2"/>
          </rPr>
          <t>- IFRS 16: See https://www.xrb.govt.nz/accounting-standards/for-profit-entities/nz-ifrs-16/
-IPP determination: "Consolidated Transpower individual price quality path determination 2015" (26 November 2018), See https://comcom.govt.nz/__data/assets/pdf_file/0023/108239/Consolidated-Transpower-individual-price-quality-path-determination-2015-28-November-2018.pdf
- ID: "Transpower information disclosure determination 2014" (3 April 2018), see https://comcom.govt.nz/__data/assets/pdf_file/0036/78768/Transpower-information-disclosure-determination-2014-consolidated-3-April-2018.pdf 
- IM: "Consolidated Transpower capital expenditure input methodology determination as at 1 June 2018" (1 June 2018), see https://comcom.govt.nz/__data/assets/pdf_file/0026/88280/Consolidated-Transpower-capital-expenditure-input-methodology-determination-as-at-1-June-2018.PDF</t>
        </r>
      </text>
    </comment>
    <comment ref="C90" authorId="0" shapeId="0" xr:uid="{20E63D53-EA6D-4EAE-8B6F-8D15593F6790}">
      <text>
        <r>
          <rPr>
            <sz val="9"/>
            <color indexed="81"/>
            <rFont val="Tahoma"/>
            <family val="2"/>
          </rPr>
          <t>A figure over 100% suggests Transpower would receive a greater return for a right of use asset than the equivalent operating expenditure.</t>
        </r>
      </text>
    </comment>
  </commentList>
</comments>
</file>

<file path=xl/sharedStrings.xml><?xml version="1.0" encoding="utf-8"?>
<sst xmlns="http://schemas.openxmlformats.org/spreadsheetml/2006/main" count="180" uniqueCount="138">
  <si>
    <t>Inputs</t>
  </si>
  <si>
    <t>Calculations</t>
  </si>
  <si>
    <t>Notes</t>
  </si>
  <si>
    <t>Leverage</t>
  </si>
  <si>
    <t>Notional interest cost of debt</t>
  </si>
  <si>
    <t>Permanent difference</t>
  </si>
  <si>
    <t>Notional deductible interest</t>
  </si>
  <si>
    <t>Tax allowance on capital</t>
  </si>
  <si>
    <t>Value</t>
  </si>
  <si>
    <t>Diminishing value rate for tax asset modelling</t>
  </si>
  <si>
    <t>Present value of lease payments</t>
  </si>
  <si>
    <t>Current regulatory period</t>
  </si>
  <si>
    <t>Tax rate</t>
  </si>
  <si>
    <t>Tax depreciation</t>
  </si>
  <si>
    <t>Degree of equivalence</t>
  </si>
  <si>
    <t>Opening regulatory tax asset value</t>
  </si>
  <si>
    <t>Closing regulatory tax asset value</t>
  </si>
  <si>
    <t>Subtotal</t>
  </si>
  <si>
    <t>Notional deductible interest adjustment</t>
  </si>
  <si>
    <t>Value of asset in GAAP accounts</t>
  </si>
  <si>
    <t>Value of regulatory tax asset</t>
  </si>
  <si>
    <t>WACC applying from next regulatory period</t>
  </si>
  <si>
    <t>Regulated return on capital (after tax)</t>
  </si>
  <si>
    <t>Component of regulatory tax allowance:</t>
  </si>
  <si>
    <t>Checks</t>
  </si>
  <si>
    <t>IFRS 16 para 24-27</t>
  </si>
  <si>
    <t>IFRS 16 para 29-31</t>
  </si>
  <si>
    <t>Corporate tax rate</t>
  </si>
  <si>
    <t>Annual lease payment ($)</t>
  </si>
  <si>
    <t>Outputs</t>
  </si>
  <si>
    <t>The degree of equivalence between treating an operating lease as operating expenditure and as a right of use asset is the key output of this model</t>
  </si>
  <si>
    <t>Determining the initial value of the right of use asset</t>
  </si>
  <si>
    <t>DPP3</t>
  </si>
  <si>
    <t>DPP4</t>
  </si>
  <si>
    <t>DPP5</t>
  </si>
  <si>
    <t>DPP6</t>
  </si>
  <si>
    <t>Closing RAB value</t>
  </si>
  <si>
    <t>Asset value within the RAB</t>
  </si>
  <si>
    <t>Illustrative model</t>
  </si>
  <si>
    <t>Capitalisation of operating leases</t>
  </si>
  <si>
    <t>Comparison between present value of operating expenditure and present value of revenue on right of use asset</t>
  </si>
  <si>
    <t>User inputs</t>
  </si>
  <si>
    <t>Choose from drop down lists</t>
  </si>
  <si>
    <t>Input values</t>
  </si>
  <si>
    <t>Fixed inputs</t>
  </si>
  <si>
    <t>Does a notional tax asset exist for the right of use asset?</t>
  </si>
  <si>
    <t>No   ||  Current IMs</t>
  </si>
  <si>
    <t>Yes   ||  Amended IMs</t>
  </si>
  <si>
    <r>
      <t xml:space="preserve">User input </t>
    </r>
    <r>
      <rPr>
        <i/>
        <sz val="10"/>
        <rFont val="Calibri"/>
        <family val="2"/>
        <scheme val="minor"/>
      </rPr>
      <t>- This is the annual payment under the lease</t>
    </r>
  </si>
  <si>
    <t>GAAP treatment of right of use asset</t>
  </si>
  <si>
    <t>Drop down list ranges:</t>
  </si>
  <si>
    <t>Check = zero</t>
  </si>
  <si>
    <t>Background</t>
  </si>
  <si>
    <t>Purpose of this model</t>
  </si>
  <si>
    <t>IFRS 16</t>
  </si>
  <si>
    <t>Illustrative treatment of right of use asset under IPP</t>
  </si>
  <si>
    <t>MAR before tax</t>
  </si>
  <si>
    <t>IM cl 2.2.6(1)(h)</t>
  </si>
  <si>
    <t>Regulatory tax allowance</t>
  </si>
  <si>
    <t>IM cl 3.3.1, 2.2.3(f), 2.2.7(1)</t>
  </si>
  <si>
    <t>IM cl 2.3.2(2)(b)</t>
  </si>
  <si>
    <t>Regulatory profit/loss before tax</t>
  </si>
  <si>
    <t>Inputs in red can be varied by the user.  Inputs in tan text should remain fixed. See the 'notes' alongside for further explanations.</t>
  </si>
  <si>
    <t>Right of use assets under the TP IMs</t>
  </si>
  <si>
    <r>
      <t xml:space="preserve">Choose from drop down - </t>
    </r>
    <r>
      <rPr>
        <i/>
        <sz val="10"/>
        <rFont val="Calibri"/>
        <family val="2"/>
        <scheme val="minor"/>
      </rPr>
      <t>An IM change would be required for a notional tax asset to apply for right of use assets, as they do not have adjusted tax values</t>
    </r>
  </si>
  <si>
    <t>Operating lease payments (end of year)</t>
  </si>
  <si>
    <t>Value of remaining lease payments (beginning of year)</t>
  </si>
  <si>
    <t>Present value of remaining lease payments at start of next regulatory period (2021) using WACC</t>
  </si>
  <si>
    <t>Opening GAAP value of right of use asset</t>
  </si>
  <si>
    <t>Depreciation of right of use asset</t>
  </si>
  <si>
    <t>Closing GAAP value of right of use asset</t>
  </si>
  <si>
    <t>Asset life</t>
  </si>
  <si>
    <t>Opening RAB value</t>
  </si>
  <si>
    <t>Total depreciation of right of use asset</t>
  </si>
  <si>
    <t>Depreciation not recovered</t>
  </si>
  <si>
    <t>Present value of revenue from right of use asset at start of next regulatory period (2021) using WACC</t>
  </si>
  <si>
    <t>Material assumptions</t>
  </si>
  <si>
    <t>Structure and instructions</t>
  </si>
  <si>
    <t>Transpower incremental cost of debt</t>
  </si>
  <si>
    <t>Remaining life of operating lease</t>
  </si>
  <si>
    <r>
      <t xml:space="preserve">User input </t>
    </r>
    <r>
      <rPr>
        <i/>
        <sz val="10"/>
        <rFont val="Calibri"/>
        <family val="2"/>
        <scheme val="minor"/>
      </rPr>
      <t>- This is Transpower's incremental cost of debt used under IFRS 16 to discount future lease payments</t>
    </r>
  </si>
  <si>
    <t>Remaining life of right of use asset as per GAAP accounts.</t>
  </si>
  <si>
    <t>These calculations show the GAAP accounting of the ROU asset over time based on straight-line depreciation.</t>
  </si>
  <si>
    <t>Operating lease payments per year for remaining lease life.</t>
  </si>
  <si>
    <t>Present value of remaining lease payments.</t>
  </si>
  <si>
    <t>Closing RAB value is the opening value less depreciation (for existing or additional assets and assuming no revaluations or disposals).</t>
  </si>
  <si>
    <t>This calculates the total depreciation recognised under the IMs across the life of the asset.</t>
  </si>
  <si>
    <t>This identifies any difference between the initial asset value and the total depreciation.</t>
  </si>
  <si>
    <t>We have calculated the individual components of the tax allowance in the MAR formula to make the calculations clearer.</t>
  </si>
  <si>
    <t>This should equal zero.</t>
  </si>
  <si>
    <t>This is the difference between the allowable revenue on the right of use asset and what we would've provided for under an opex treatment over future regulatory periods.</t>
  </si>
  <si>
    <t>This is the degree of equivalence of the allowable revenue provided for a right of use asset versus an equivalent opex treatment.</t>
  </si>
  <si>
    <t>Regulatory depreciation</t>
  </si>
  <si>
    <t>Allowance on depreciation</t>
  </si>
  <si>
    <t>Year ending 30 June</t>
  </si>
  <si>
    <t>Adjustment for tax depreciation</t>
  </si>
  <si>
    <t>Deduct tax depreciation</t>
  </si>
  <si>
    <t>IM cl 3.4.1(1), 2.3.1</t>
  </si>
  <si>
    <t>IM cl 2.3.1(2), ID cl A3</t>
  </si>
  <si>
    <t>IM cl 2.3.1(3)(a), 2.3.1(4)</t>
  </si>
  <si>
    <t>IM cl 2.3.1(3)(b)</t>
  </si>
  <si>
    <t>IM cl 3.4.1(1), 2.3.1(1)</t>
  </si>
  <si>
    <t>Revenue</t>
  </si>
  <si>
    <t xml:space="preserve">This is the NPV of the remaining operating lease payments from the start of the next regulatory period, using WACC. </t>
  </si>
  <si>
    <t>IPP determination Schedule D</t>
  </si>
  <si>
    <t>IPP determination, Schedule D</t>
  </si>
  <si>
    <t>IM cl 2.3.1(1)</t>
  </si>
  <si>
    <t>These calculations are a check on the tax allowance.</t>
  </si>
  <si>
    <t>The opening RAB value is based on the Value of Commissioned Assets less depreciation, or the closing value from the previous year.</t>
  </si>
  <si>
    <t>Depreciation based on RAB value / remaining asset life.</t>
  </si>
  <si>
    <r>
      <t>Choose from drop down -</t>
    </r>
    <r>
      <rPr>
        <i/>
        <sz val="10"/>
        <rFont val="Calibri"/>
        <family val="2"/>
        <scheme val="minor"/>
      </rPr>
      <t xml:space="preserve"> NZ IFRS 16 must be applied for financial reporting periods starting on or after 1 Jan 2019, but can be adopted earlier</t>
    </r>
    <r>
      <rPr>
        <b/>
        <i/>
        <sz val="10"/>
        <rFont val="Calibri"/>
        <family val="2"/>
        <scheme val="minor"/>
      </rPr>
      <t>.</t>
    </r>
    <r>
      <rPr>
        <i/>
        <sz val="10"/>
        <rFont val="Calibri"/>
        <family val="2"/>
        <scheme val="minor"/>
      </rPr>
      <t xml:space="preserve"> We assume capitalisation occurs on 1 July.</t>
    </r>
  </si>
  <si>
    <r>
      <t xml:space="preserve">User input </t>
    </r>
    <r>
      <rPr>
        <i/>
        <sz val="10"/>
        <rFont val="Calibri"/>
        <family val="2"/>
        <scheme val="minor"/>
      </rPr>
      <t>- This is the term of the lease recognised under NZ IFRS 16</t>
    </r>
  </si>
  <si>
    <t>What is the disclosure year of first capitalisation (year-ending 30 June)</t>
  </si>
  <si>
    <t>These calculations illustrate the differences that arise from treating operating leases as operating expenditure, compared to treating them as right of use assets consistent with NZ IFRS 16. The calculations operate on the basis of existing IMs, but the 'User Inputs' above allow users to observe how some changes affect the equivalence of the outcomes.</t>
  </si>
  <si>
    <t>Years or remaining asset life as at 1 July</t>
  </si>
  <si>
    <t>We have assumed right of use assets are non-network assets, with a GAAP-based life.</t>
  </si>
  <si>
    <r>
      <t xml:space="preserve">We have made several simplifying assumptions in this model:
</t>
    </r>
    <r>
      <rPr>
        <sz val="11"/>
        <color theme="1"/>
        <rFont val="Calibri"/>
        <family val="2"/>
        <scheme val="minor"/>
      </rPr>
      <t xml:space="preserve">- Multiple right of use assets will enter the aggregate RAB, but we have modelled them as a single, stand-alone asset or group of assets with a common useful life and discount rate.
- Intra-year timing of payments is ignored (these are denoted by 'A1' within formulas in the IPP), with all payments occurring at year-end. 
- All years relate to year-ending on 30 June
- The right of use asset is has an asset allocation ratio of 100%
- We have assumed that the operating lease does not involve any lease prepayments or direct costs 
</t>
    </r>
  </si>
  <si>
    <r>
      <rPr>
        <b/>
        <sz val="11"/>
        <color theme="1"/>
        <rFont val="Calibri"/>
        <family val="2"/>
        <scheme val="minor"/>
      </rPr>
      <t xml:space="preserve"> - The model consists of one calculation sheet:</t>
    </r>
    <r>
      <rPr>
        <sz val="11"/>
        <color theme="1"/>
        <rFont val="Calibri"/>
        <family val="2"/>
        <scheme val="minor"/>
      </rPr>
      <t xml:space="preserve">
     ●  the 'Equivalence calculations' worksheet steps through the calculations of how a right of use asset would be treated under the Transpower IMs, compared to continuing to treat a lease as operating expenditure
</t>
    </r>
    <r>
      <rPr>
        <b/>
        <sz val="11"/>
        <color theme="1"/>
        <rFont val="Calibri"/>
        <family val="2"/>
        <scheme val="minor"/>
      </rPr>
      <t xml:space="preserve">- The model takes in user inputs:
</t>
    </r>
    <r>
      <rPr>
        <sz val="11"/>
        <color theme="1"/>
        <rFont val="Calibri"/>
        <family val="2"/>
        <scheme val="minor"/>
      </rPr>
      <t xml:space="preserve">     ●  These are highlighted in red font in the 'Equivalence calculations' worksheet
     ●  The first two user inputs are selected from drop-down lists
     ●  Further instructions around these inputs are provided next to the relevant input cells
</t>
    </r>
  </si>
  <si>
    <t>Difference between regulatory depreciation and operating lease expenditure</t>
  </si>
  <si>
    <t>Difference between tax depreciation and regulatory depreciation</t>
  </si>
  <si>
    <r>
      <t xml:space="preserve">User input </t>
    </r>
    <r>
      <rPr>
        <i/>
        <sz val="10"/>
        <rFont val="Calibri"/>
        <family val="2"/>
        <scheme val="minor"/>
      </rPr>
      <t>- This is based on tax rules, and would vary based on the life of the asset</t>
    </r>
    <r>
      <rPr>
        <b/>
        <i/>
        <sz val="10"/>
        <rFont val="Calibri"/>
        <family val="2"/>
        <scheme val="minor"/>
      </rPr>
      <t>.</t>
    </r>
  </si>
  <si>
    <t>Ref IM cl 3.5.2(1)</t>
  </si>
  <si>
    <t>From draft IPP decision published on 29 May 2019. To be updated for final decision.</t>
  </si>
  <si>
    <t>IM cl 2.2.4(1)</t>
  </si>
  <si>
    <t>IM cl 2.2.3(2)</t>
  </si>
  <si>
    <t>This calculates the regulatory profit/loss before tax.</t>
  </si>
  <si>
    <t>This calculates the regulatory tax allowance on the regulatory profit/loss before tax.</t>
  </si>
  <si>
    <r>
      <t xml:space="preserve">In 2016, a new financial reporting standard, New Zealand Equivalent to International Financial Reporting Standard 16 Leases (NZ IFRS 16) was issued by the New Zealand Accounting Standards Board. It comes into effect for annual reporting periods beginning on or after 1 January 2019 — though some businesses adopted the standard earlier. The standard fundamentally changes the accounting treatment of operating leases for lessees by requiring the capitalisation of operating lease expenditure, and treating them as 'right of use' assets.  The new accounting treatment of operating leases affects the businesses we regulate in ways that we could not have anticipated when we set the current input methodologies.  This gives rise to the potential for unintended outcomes. 
</t>
    </r>
    <r>
      <rPr>
        <b/>
        <sz val="11"/>
        <color theme="1"/>
        <rFont val="Calibri"/>
        <family val="2"/>
        <scheme val="minor"/>
      </rPr>
      <t>This model contributes to the discussion in our "Treatment of operating leases: Issues Paper" (6 June 2019)</t>
    </r>
    <r>
      <rPr>
        <sz val="11"/>
        <color theme="1"/>
        <rFont val="Calibri"/>
        <family val="2"/>
        <scheme val="minor"/>
      </rPr>
      <t xml:space="preserve">. (see https://comcom.govt.nz/__data/assets/pdf_file/0017/152108/Treatment-of-operating-leases-Issues-paper-6-June-2019.pdf). 
The main issues identified in that paper relevant to Transpower are:
     ● Suppliers may receive a tax allowance that is different to their tax costs based on tax rules because there is no regulatory tax asset 
     ● Suppliers may benefit from a difference in the weighted average cost of capital (WACC) used to calculate returns on right of use assets and their incremental cost of debt used to discount forecast operating lease cashflows in creating the right of use assets. This, however, may be largely negated by tax effects.
     ● The initial capitalisation of operating leases will create a one-off benefit for regulated suppliers under IRIS. 
     ● Regulated suppliers could obtain IRIS benefits on the basis of provisional outcomes.
</t>
    </r>
  </si>
  <si>
    <t>Table of Contents</t>
  </si>
  <si>
    <t>Sheet Name</t>
  </si>
  <si>
    <t>Link</t>
  </si>
  <si>
    <t>Published 3 July 2019 v1</t>
  </si>
  <si>
    <t>Transpower</t>
  </si>
  <si>
    <t>Description</t>
  </si>
  <si>
    <r>
      <rPr>
        <i/>
        <sz val="11"/>
        <color theme="1"/>
        <rFont val="Calibri"/>
        <family val="2"/>
        <scheme val="minor"/>
      </rPr>
      <t>This model has been prepared and published for illustrative purposes only.</t>
    </r>
    <r>
      <rPr>
        <b/>
        <sz val="11"/>
        <color theme="1"/>
        <rFont val="Calibri"/>
        <family val="2"/>
        <scheme val="minor"/>
      </rPr>
      <t xml:space="preserve">
</t>
    </r>
    <r>
      <rPr>
        <sz val="11"/>
        <color theme="1"/>
        <rFont val="Calibri"/>
        <family val="2"/>
        <scheme val="minor"/>
      </rPr>
      <t>The model is intended to be used as a tool to illustrate the effect of the introduction of right of use assets on allowable revenue using the existing Transpower IMs, with switches to allow the comparison with values under possible IM changes. A key output of the model is to calculate the degree of equivalence between the present value of remaining operating lease payments at the start of RCP3 and the implied allowable revenue from the value of right of use assets capitalised on adoption of NZ IFRS 16. We hope this will assist interested parties to evaluate the effects of adopting the capitalisation treatment under NZ IFRS 16 for regulatory purposes using different IM assumption scenarios, and to be able to provide feedback on possible IM changes. 
This model assumes a hypothetical operating lease, or sum of leases capitalised as at the same date. It is not intended to substitute for Transpower's modelling of the Forecast MAR. 
Treating operating leases as right of use assets instead of operating expenditure has impacts under the Incremental Rolling Incentive Scheme (IRIS). On 21 June 2019 we published a model for calculating IRIS recoverable costs as part of our project to set the default price path for EDBs for 2021-2025 (see https://comcom.govt.nz/__data/assets/excel_doc/0028/155836/Calculations-of-IRIS-recoverable-costs-for-DPP3-EDB-DPP3-draft-21-June-2019.xlsx). We have not modelled the IRIS impacts for Transpower in this model.</t>
    </r>
  </si>
  <si>
    <t>Equivalence calculations</t>
  </si>
  <si>
    <t>Right of use assets are to be valued based on the present value of remaining lease payments discounted by the incremental cost of debt.</t>
  </si>
  <si>
    <t>This is the NPV of the MAR on the right of use asset from the start of the next regulatory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</si>
</sst>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_)"/>
    <numFmt numFmtId="169" formatCode="_(* #,##0.0_);_(* \(#,##0.0\);_(* &quot;–&quot;???_);_(* @_)"/>
    <numFmt numFmtId="170" formatCode="_(* #,##0.00_);_(* \(#,##0.00\);_(* &quot;–&quot;???_);_(* @_)"/>
    <numFmt numFmtId="171" formatCode="_(* #,##0.0000_);_(* \(#,##0.0000\);_(* &quot;–&quot;??_);_(* @_)"/>
    <numFmt numFmtId="172" formatCode="[$-1409]d\ mmm\ yy;@"/>
    <numFmt numFmtId="173" formatCode="_(* #,##0%_);_(* \(#,##0%\);_(* &quot;–&quot;???_);_(* @_)"/>
    <numFmt numFmtId="174" formatCode="_(* #,##0.0%_);_(* \(#,##0.0%\);_(* &quot;–&quot;??_);_(* @_)"/>
    <numFmt numFmtId="175" formatCode="_(* #,##0.00%_);_(* \(#,##0.00%\);_(* &quot;–&quot;???_);_(* @_)"/>
    <numFmt numFmtId="176" formatCode="_(* #,##0.000%_);_(* \(#,##0.000%\);_(* &quot;–&quot;???_);_(* @_)"/>
    <numFmt numFmtId="177" formatCode="_(* #,##0%_);_(* \(#,##0%\);_(* &quot;–&quot;??_);_(* @_)"/>
    <numFmt numFmtId="178" formatCode="_(* 0_);_(* \(0\);_(* &quot;–&quot;??_);_(@_)"/>
    <numFmt numFmtId="179" formatCode="_(* #,##0_);_(* \(#,##0\);_(* &quot;–&quot;???_);_(* @_)"/>
    <numFmt numFmtId="180" formatCode="_(* #,##0.0000%_);_(* \(#,##0.0000%\);_(* &quot;–&quot;???_);_(* @_)"/>
    <numFmt numFmtId="181" formatCode="_(* #,##0.000_);_(* \(#,##0.000\);_(* &quot;–&quot;???_);_(* @_)"/>
    <numFmt numFmtId="182" formatCode="_(* #,##0_);_(* \(#,##0\);_(* &quot;-&quot;??_);_(@_)"/>
    <numFmt numFmtId="183" formatCode="_-* #,##0_-;\-* #,##0_-;_-* &quot;-&quot;??_-;_-@_-"/>
  </numFmts>
  <fonts count="38" x14ac:knownFonts="1">
    <font>
      <sz val="11"/>
      <color theme="1"/>
      <name val="Calibri"/>
      <family val="2"/>
      <scheme val="minor"/>
    </font>
    <font>
      <sz val="11"/>
      <color theme="1"/>
      <name val="Calibri"/>
      <family val="2"/>
      <scheme val="minor"/>
    </font>
    <font>
      <b/>
      <sz val="11"/>
      <color theme="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scheme val="minor"/>
    </font>
    <font>
      <b/>
      <sz val="18"/>
      <name val="Calibri"/>
      <family val="2"/>
      <scheme val="minor"/>
    </font>
    <font>
      <b/>
      <sz val="16"/>
      <name val="Calibri"/>
      <family val="2"/>
      <scheme val="minor"/>
    </font>
    <font>
      <b/>
      <sz val="14"/>
      <name val="Calibri"/>
      <family val="2"/>
      <scheme val="minor"/>
    </font>
    <font>
      <sz val="11"/>
      <color theme="2"/>
      <name val="Calibri"/>
      <family val="2"/>
      <scheme val="minor"/>
    </font>
    <font>
      <b/>
      <sz val="10"/>
      <name val="Calibri"/>
      <family val="4"/>
      <scheme val="minor"/>
    </font>
    <font>
      <sz val="11"/>
      <color theme="9"/>
      <name val="Calibri"/>
      <family val="2"/>
      <scheme val="minor"/>
    </font>
    <font>
      <b/>
      <sz val="20"/>
      <color theme="2"/>
      <name val="Calibri"/>
      <family val="2"/>
      <scheme val="minor"/>
    </font>
    <font>
      <sz val="11"/>
      <name val="Calibri"/>
      <family val="2"/>
    </font>
    <font>
      <sz val="11"/>
      <color theme="1"/>
      <name val="Calibri"/>
      <family val="2"/>
    </font>
    <font>
      <i/>
      <sz val="10"/>
      <name val="Calibri"/>
      <family val="4"/>
      <scheme val="minor"/>
    </font>
    <font>
      <b/>
      <sz val="10"/>
      <color theme="1"/>
      <name val="Calibri"/>
      <family val="2"/>
      <scheme val="minor"/>
    </font>
    <font>
      <u/>
      <sz val="10"/>
      <color theme="10"/>
      <name val="Calibri"/>
      <family val="2"/>
      <scheme val="minor"/>
    </font>
    <font>
      <u/>
      <sz val="10"/>
      <color theme="11"/>
      <name val="Calibri"/>
      <family val="2"/>
      <scheme val="minor"/>
    </font>
    <font>
      <i/>
      <sz val="11"/>
      <color theme="1"/>
      <name val="Calibri"/>
      <family val="2"/>
      <scheme val="minor"/>
    </font>
    <font>
      <sz val="11"/>
      <color theme="0" tint="-0.34998626667073579"/>
      <name val="Calibri"/>
      <family val="2"/>
      <scheme val="minor"/>
    </font>
    <font>
      <b/>
      <i/>
      <sz val="10"/>
      <name val="Calibri"/>
      <family val="2"/>
      <scheme val="minor"/>
    </font>
    <font>
      <i/>
      <sz val="10"/>
      <name val="Calibri"/>
      <family val="2"/>
      <scheme val="minor"/>
    </font>
    <font>
      <sz val="9"/>
      <color indexed="81"/>
      <name val="Tahoma"/>
      <family val="2"/>
    </font>
    <font>
      <b/>
      <sz val="9"/>
      <color indexed="81"/>
      <name val="Tahoma"/>
      <family val="2"/>
    </font>
    <font>
      <sz val="11"/>
      <color theme="0" tint="-0.249977111117893"/>
      <name val="Calibri"/>
      <family val="2"/>
      <scheme val="minor"/>
    </font>
    <font>
      <sz val="11"/>
      <color theme="7" tint="0.59999389629810485"/>
      <name val="Calibri"/>
      <family val="2"/>
      <scheme val="minor"/>
    </font>
    <font>
      <b/>
      <sz val="11"/>
      <color theme="0" tint="-0.34998626667073579"/>
      <name val="Calibri"/>
      <family val="2"/>
      <scheme val="minor"/>
    </font>
    <font>
      <i/>
      <sz val="11"/>
      <color theme="0" tint="-0.34998626667073579"/>
      <name val="Calibri"/>
      <family val="2"/>
      <scheme val="minor"/>
    </font>
    <font>
      <b/>
      <sz val="12"/>
      <color theme="1"/>
      <name val="Calibri"/>
      <family val="2"/>
      <scheme val="minor"/>
    </font>
    <font>
      <u/>
      <sz val="10"/>
      <color theme="10"/>
      <name val="Calibri"/>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theme="4"/>
        <bgColor indexed="64"/>
      </patternFill>
    </fill>
    <fill>
      <patternFill patternType="solid">
        <fgColor theme="6"/>
        <bgColor indexed="64"/>
      </patternFill>
    </fill>
    <fill>
      <patternFill patternType="solid">
        <fgColor theme="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2" tint="0.79998168889431442"/>
        <bgColor indexed="64"/>
      </patternFill>
    </fill>
  </fills>
  <borders count="31">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theme="7"/>
      </top>
      <bottom style="thin">
        <color theme="7"/>
      </bottom>
      <diagonal/>
    </border>
    <border>
      <left/>
      <right style="thin">
        <color theme="7"/>
      </right>
      <top style="thin">
        <color theme="7"/>
      </top>
      <bottom style="thin">
        <color theme="7"/>
      </bottom>
      <diagonal/>
    </border>
    <border>
      <left/>
      <right style="dotted">
        <color theme="0" tint="-0.14996795556505021"/>
      </right>
      <top style="thin">
        <color theme="7"/>
      </top>
      <bottom style="thin">
        <color theme="7"/>
      </bottom>
      <diagonal/>
    </border>
    <border>
      <left/>
      <right style="dotted">
        <color theme="0" tint="-0.14996795556505021"/>
      </right>
      <top/>
      <bottom/>
      <diagonal/>
    </border>
    <border>
      <left/>
      <right/>
      <top/>
      <bottom style="thin">
        <color theme="7"/>
      </bottom>
      <diagonal/>
    </border>
    <border>
      <left/>
      <right style="dotted">
        <color theme="0" tint="-0.14996795556505021"/>
      </right>
      <top/>
      <bottom style="thin">
        <color theme="7"/>
      </bottom>
      <diagonal/>
    </border>
    <border>
      <left/>
      <right/>
      <top style="thin">
        <color theme="7" tint="-0.24994659260841701"/>
      </top>
      <bottom style="thin">
        <color theme="7"/>
      </bottom>
      <diagonal/>
    </border>
    <border>
      <left/>
      <right/>
      <top style="thin">
        <color theme="7"/>
      </top>
      <bottom style="thin">
        <color theme="7" tint="-0.2499465926084170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style="thin">
        <color indexed="64"/>
      </top>
      <bottom/>
      <diagonal/>
    </border>
    <border>
      <left/>
      <right style="medium">
        <color indexed="8"/>
      </right>
      <top style="thin">
        <color indexed="64"/>
      </top>
      <bottom/>
      <diagonal/>
    </border>
    <border>
      <left style="medium">
        <color indexed="8"/>
      </left>
      <right/>
      <top/>
      <bottom/>
      <diagonal/>
    </border>
    <border>
      <left/>
      <right style="medium">
        <color indexed="8"/>
      </right>
      <top/>
      <bottom/>
      <diagonal/>
    </border>
    <border>
      <left style="medium">
        <color indexed="8"/>
      </left>
      <right/>
      <top style="thin">
        <color indexed="64"/>
      </top>
      <bottom style="medium">
        <color indexed="8"/>
      </bottom>
      <diagonal/>
    </border>
    <border>
      <left/>
      <right style="medium">
        <color indexed="8"/>
      </right>
      <top style="thin">
        <color indexed="64"/>
      </top>
      <bottom style="medium">
        <color indexed="8"/>
      </bottom>
      <diagonal/>
    </border>
  </borders>
  <cellStyleXfs count="68">
    <xf numFmtId="0" fontId="0" fillId="0" borderId="0"/>
    <xf numFmtId="167" fontId="1" fillId="0" borderId="0" applyFont="0" applyFill="0" applyBorder="0" applyAlignment="0" applyProtection="0"/>
    <xf numFmtId="179" fontId="12"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49" fontId="19" fillId="0" borderId="0" applyFill="0" applyAlignment="0"/>
    <xf numFmtId="49" fontId="13" fillId="0" borderId="0" applyFill="0" applyAlignment="0"/>
    <xf numFmtId="49" fontId="14" fillId="0" borderId="0" applyFill="0" applyAlignment="0"/>
    <xf numFmtId="49" fontId="15" fillId="33" borderId="0" applyFill="0" applyBorder="0">
      <alignment horizontal="left"/>
    </xf>
    <xf numFmtId="0" fontId="3"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16" fillId="34" borderId="14" applyNumberFormat="0" applyFill="0" applyAlignment="0">
      <protection locked="0"/>
    </xf>
    <xf numFmtId="0" fontId="1" fillId="36" borderId="14" applyNumberFormat="0" applyFill="0" applyAlignment="0"/>
    <xf numFmtId="0" fontId="7" fillId="5" borderId="1" applyNumberFormat="0" applyAlignment="0" applyProtection="0"/>
    <xf numFmtId="0" fontId="8" fillId="0" borderId="2" applyNumberFormat="0" applyFill="0" applyAlignment="0" applyProtection="0"/>
    <xf numFmtId="0" fontId="9" fillId="6" borderId="3" applyNumberFormat="0" applyAlignment="0" applyProtection="0"/>
    <xf numFmtId="0" fontId="10" fillId="0" borderId="0" applyNumberFormat="0" applyFill="0" applyBorder="0" applyAlignment="0" applyProtection="0"/>
    <xf numFmtId="0" fontId="1" fillId="7" borderId="4" applyNumberFormat="0" applyFont="0" applyAlignment="0" applyProtection="0"/>
    <xf numFmtId="49" fontId="22" fillId="0" borderId="0" applyFill="0" applyProtection="0">
      <alignment horizontal="left" indent="1"/>
    </xf>
    <xf numFmtId="0" fontId="2" fillId="0" borderId="5"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178" fontId="20" fillId="0" borderId="0" applyFont="0" applyFill="0" applyBorder="0" applyAlignment="0" applyProtection="0">
      <alignment horizontal="left"/>
      <protection locked="0"/>
    </xf>
    <xf numFmtId="165" fontId="1" fillId="36" borderId="15" applyNumberFormat="0" applyFont="0" applyFill="0" applyAlignment="0" applyProtection="0"/>
    <xf numFmtId="176" fontId="12" fillId="32" borderId="0" applyFont="0" applyBorder="0"/>
    <xf numFmtId="175" fontId="20" fillId="0" borderId="0" applyFont="0" applyFill="0" applyBorder="0" applyAlignment="0" applyProtection="0">
      <protection locked="0"/>
    </xf>
    <xf numFmtId="174" fontId="12" fillId="0" borderId="0" applyFont="0" applyFill="0" applyBorder="0" applyAlignment="0" applyProtection="0">
      <alignment horizontal="center" vertical="top" wrapText="1"/>
    </xf>
    <xf numFmtId="173" fontId="18" fillId="34" borderId="14" applyNumberFormat="0" applyFill="0" applyAlignment="0"/>
    <xf numFmtId="0" fontId="17" fillId="35" borderId="14" applyNumberFormat="0" applyFill="0">
      <alignment horizontal="centerContinuous" wrapText="1"/>
    </xf>
    <xf numFmtId="172" fontId="20" fillId="0" borderId="0" applyFont="0" applyFill="0" applyBorder="0" applyAlignment="0" applyProtection="0">
      <alignment wrapText="1"/>
    </xf>
    <xf numFmtId="171" fontId="20" fillId="0" borderId="0" applyFont="0" applyFill="0" applyBorder="0" applyAlignment="0" applyProtection="0"/>
    <xf numFmtId="170" fontId="20" fillId="0" borderId="0" applyFont="0" applyFill="0" applyBorder="0" applyAlignment="0" applyProtection="0">
      <protection locked="0"/>
    </xf>
    <xf numFmtId="168" fontId="21" fillId="0" borderId="0" applyFont="0" applyFill="0" applyBorder="0" applyAlignment="0" applyProtection="0">
      <alignment horizontal="left"/>
      <protection locked="0"/>
    </xf>
    <xf numFmtId="169" fontId="20" fillId="0" borderId="0" applyFont="0" applyFill="0" applyBorder="0" applyAlignment="0" applyProtection="0">
      <protection locked="0"/>
    </xf>
    <xf numFmtId="0" fontId="24" fillId="0" borderId="0" applyNumberFormat="0" applyFill="0" applyBorder="0" applyAlignment="0" applyProtection="0">
      <alignment vertical="top"/>
      <protection locked="0"/>
    </xf>
    <xf numFmtId="9" fontId="1" fillId="0" borderId="0" applyFont="0" applyFill="0" applyBorder="0" applyAlignment="0" applyProtection="0"/>
    <xf numFmtId="177" fontId="1" fillId="0" borderId="0" applyFont="0" applyFill="0" applyBorder="0" applyAlignment="0" applyProtection="0"/>
    <xf numFmtId="0" fontId="25" fillId="0" borderId="0" applyNumberFormat="0" applyFill="0" applyBorder="0" applyAlignment="0" applyProtection="0"/>
    <xf numFmtId="180" fontId="1" fillId="32" borderId="0" applyFont="0" applyBorder="0"/>
    <xf numFmtId="181" fontId="1" fillId="0" borderId="0" applyFont="0" applyFill="0" applyBorder="0" applyAlignment="0" applyProtection="0"/>
    <xf numFmtId="0" fontId="1" fillId="35" borderId="14" applyNumberFormat="0" applyFont="0" applyBorder="0" applyAlignment="0" applyProtection="0"/>
    <xf numFmtId="173" fontId="18" fillId="34" borderId="14" applyNumberFormat="0" applyAlignment="0"/>
    <xf numFmtId="166"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146">
    <xf numFmtId="0" fontId="0" fillId="0" borderId="0" xfId="0"/>
    <xf numFmtId="0" fontId="0" fillId="0" borderId="0" xfId="0"/>
    <xf numFmtId="0" fontId="0" fillId="0" borderId="0" xfId="0" applyBorder="1"/>
    <xf numFmtId="0" fontId="0" fillId="0" borderId="11" xfId="0" applyFill="1" applyBorder="1"/>
    <xf numFmtId="0" fontId="0" fillId="0" borderId="12" xfId="0" applyFill="1" applyBorder="1"/>
    <xf numFmtId="49" fontId="19" fillId="0" borderId="0" xfId="5"/>
    <xf numFmtId="49" fontId="13" fillId="0" borderId="0" xfId="6" applyFill="1" applyBorder="1" applyAlignment="1">
      <alignment horizontal="left" indent="1"/>
    </xf>
    <xf numFmtId="49" fontId="19" fillId="0" borderId="0" xfId="5" applyBorder="1"/>
    <xf numFmtId="168" fontId="1" fillId="0" borderId="14" xfId="14" applyNumberFormat="1" applyFill="1" applyAlignment="1"/>
    <xf numFmtId="178" fontId="1" fillId="0" borderId="14" xfId="14" applyNumberFormat="1" applyFill="1" applyAlignment="1"/>
    <xf numFmtId="0" fontId="24" fillId="0" borderId="14" xfId="58" applyFill="1" applyBorder="1" applyAlignment="1" applyProtection="1"/>
    <xf numFmtId="0" fontId="17" fillId="0" borderId="14" xfId="52" applyFill="1">
      <alignment horizontal="centerContinuous" wrapText="1"/>
    </xf>
    <xf numFmtId="0" fontId="1" fillId="0" borderId="14" xfId="14" applyFill="1"/>
    <xf numFmtId="178" fontId="17" fillId="0" borderId="14" xfId="46" applyFont="1" applyFill="1" applyBorder="1" applyAlignment="1" applyProtection="1">
      <alignment horizontal="centerContinuous" wrapText="1"/>
    </xf>
    <xf numFmtId="179" fontId="1" fillId="0" borderId="14" xfId="14" applyNumberFormat="1" applyFill="1"/>
    <xf numFmtId="49" fontId="15" fillId="0" borderId="0" xfId="8" applyFill="1">
      <alignment horizontal="left"/>
    </xf>
    <xf numFmtId="0" fontId="0" fillId="0" borderId="14" xfId="14" applyFont="1" applyFill="1"/>
    <xf numFmtId="10" fontId="16" fillId="0" borderId="14" xfId="13" applyNumberFormat="1" applyFill="1">
      <protection locked="0"/>
    </xf>
    <xf numFmtId="179" fontId="16" fillId="0" borderId="14" xfId="13" applyNumberFormat="1" applyFill="1">
      <protection locked="0"/>
    </xf>
    <xf numFmtId="0" fontId="16" fillId="0" borderId="14" xfId="13" applyNumberFormat="1" applyFill="1">
      <protection locked="0"/>
    </xf>
    <xf numFmtId="179" fontId="1" fillId="0" borderId="14" xfId="14" applyNumberFormat="1" applyFill="1" applyAlignment="1">
      <alignment horizontal="right" wrapText="1"/>
    </xf>
    <xf numFmtId="179" fontId="1" fillId="0" borderId="14" xfId="57" applyNumberFormat="1" applyFont="1" applyFill="1" applyBorder="1" applyAlignment="1" applyProtection="1">
      <alignment horizontal="centerContinuous" wrapText="1"/>
    </xf>
    <xf numFmtId="179" fontId="1" fillId="0" borderId="14" xfId="57" applyNumberFormat="1" applyFont="1" applyFill="1" applyBorder="1" applyProtection="1"/>
    <xf numFmtId="179" fontId="0" fillId="0" borderId="0" xfId="0" applyNumberFormat="1"/>
    <xf numFmtId="178" fontId="17" fillId="0" borderId="14" xfId="52" applyNumberFormat="1" applyFill="1">
      <alignment horizontal="centerContinuous" wrapText="1"/>
    </xf>
    <xf numFmtId="177" fontId="16" fillId="0" borderId="14" xfId="60" applyFont="1" applyFill="1" applyBorder="1" applyProtection="1">
      <protection locked="0"/>
    </xf>
    <xf numFmtId="0" fontId="11" fillId="0" borderId="0" xfId="14" applyFont="1" applyFill="1" applyBorder="1"/>
    <xf numFmtId="49" fontId="0" fillId="0" borderId="14" xfId="14" applyNumberFormat="1" applyFont="1" applyFill="1" applyAlignment="1">
      <alignment horizontal="left"/>
    </xf>
    <xf numFmtId="175" fontId="1" fillId="0" borderId="14" xfId="49" applyFont="1" applyFill="1" applyBorder="1" applyAlignment="1" applyProtection="1"/>
    <xf numFmtId="179" fontId="1" fillId="0" borderId="0" xfId="57" applyNumberFormat="1" applyFont="1" applyFill="1" applyBorder="1" applyAlignment="1" applyProtection="1">
      <alignment horizontal="centerContinuous" wrapText="1"/>
    </xf>
    <xf numFmtId="179" fontId="1" fillId="0" borderId="14" xfId="57" applyNumberFormat="1" applyFont="1" applyFill="1" applyBorder="1" applyAlignment="1" applyProtection="1"/>
    <xf numFmtId="0" fontId="1" fillId="35" borderId="14" xfId="64"/>
    <xf numFmtId="179" fontId="1" fillId="35" borderId="14" xfId="64" applyNumberFormat="1"/>
    <xf numFmtId="49" fontId="22" fillId="0" borderId="0" xfId="20">
      <alignment horizontal="left" indent="1"/>
    </xf>
    <xf numFmtId="49" fontId="22" fillId="0" borderId="0" xfId="20" applyFill="1">
      <alignment horizontal="left" indent="1"/>
    </xf>
    <xf numFmtId="177" fontId="18" fillId="0" borderId="14" xfId="51" applyNumberFormat="1" applyFill="1"/>
    <xf numFmtId="179" fontId="1" fillId="0" borderId="0" xfId="57" applyNumberFormat="1" applyFont="1" applyFill="1" applyBorder="1" applyProtection="1"/>
    <xf numFmtId="179" fontId="27" fillId="37" borderId="14" xfId="57" applyNumberFormat="1" applyFont="1" applyFill="1" applyBorder="1" applyAlignment="1" applyProtection="1">
      <alignment horizontal="centerContinuous" wrapText="1"/>
    </xf>
    <xf numFmtId="179" fontId="12" fillId="0" borderId="14" xfId="57" applyNumberFormat="1" applyFont="1" applyFill="1" applyBorder="1" applyAlignment="1" applyProtection="1">
      <alignment horizontal="centerContinuous" wrapText="1"/>
    </xf>
    <xf numFmtId="0" fontId="17" fillId="0" borderId="16" xfId="47" applyNumberFormat="1" applyFont="1" applyFill="1" applyBorder="1" applyAlignment="1">
      <alignment horizontal="centerContinuous" wrapText="1"/>
    </xf>
    <xf numFmtId="178" fontId="17" fillId="0" borderId="16" xfId="46" applyFont="1" applyFill="1" applyBorder="1" applyAlignment="1" applyProtection="1">
      <alignment horizontal="centerContinuous" wrapText="1"/>
    </xf>
    <xf numFmtId="178" fontId="17" fillId="0" borderId="16" xfId="52" applyNumberFormat="1" applyFill="1" applyBorder="1">
      <alignment horizontal="centerContinuous" wrapText="1"/>
    </xf>
    <xf numFmtId="179" fontId="1" fillId="0" borderId="16" xfId="57" applyNumberFormat="1" applyFont="1" applyFill="1" applyBorder="1" applyAlignment="1" applyProtection="1">
      <alignment horizontal="centerContinuous" wrapText="1"/>
    </xf>
    <xf numFmtId="0" fontId="0" fillId="0" borderId="17" xfId="0" applyBorder="1"/>
    <xf numFmtId="179" fontId="27" fillId="37" borderId="16" xfId="57" applyNumberFormat="1" applyFont="1" applyFill="1" applyBorder="1" applyProtection="1"/>
    <xf numFmtId="179" fontId="1" fillId="0" borderId="17" xfId="57" applyNumberFormat="1" applyFont="1" applyFill="1" applyBorder="1" applyProtection="1"/>
    <xf numFmtId="179" fontId="1" fillId="0" borderId="17" xfId="57" applyNumberFormat="1" applyFont="1" applyFill="1" applyBorder="1" applyAlignment="1" applyProtection="1">
      <alignment horizontal="centerContinuous" wrapText="1"/>
    </xf>
    <xf numFmtId="179" fontId="26" fillId="0" borderId="14" xfId="57" applyNumberFormat="1" applyFont="1" applyFill="1" applyBorder="1" applyAlignment="1" applyProtection="1">
      <alignment horizontal="centerContinuous" wrapText="1"/>
    </xf>
    <xf numFmtId="0" fontId="1" fillId="0" borderId="18" xfId="14" applyFill="1" applyBorder="1"/>
    <xf numFmtId="179" fontId="1" fillId="0" borderId="18" xfId="57" applyNumberFormat="1" applyFont="1" applyFill="1" applyBorder="1" applyAlignment="1" applyProtection="1">
      <alignment horizontal="centerContinuous" wrapText="1"/>
    </xf>
    <xf numFmtId="179" fontId="1" fillId="0" borderId="19" xfId="57" applyNumberFormat="1" applyFont="1" applyFill="1" applyBorder="1" applyProtection="1"/>
    <xf numFmtId="179" fontId="1" fillId="0" borderId="18" xfId="57" applyNumberFormat="1" applyFont="1" applyFill="1" applyBorder="1" applyProtection="1"/>
    <xf numFmtId="49" fontId="26" fillId="0" borderId="20" xfId="14" applyNumberFormat="1" applyFont="1" applyFill="1" applyBorder="1" applyAlignment="1">
      <alignment horizontal="right"/>
    </xf>
    <xf numFmtId="0" fontId="26" fillId="0" borderId="20" xfId="14" applyFont="1" applyFill="1" applyBorder="1"/>
    <xf numFmtId="179" fontId="26" fillId="0" borderId="20" xfId="57" applyNumberFormat="1" applyFont="1" applyFill="1" applyBorder="1" applyAlignment="1" applyProtection="1">
      <alignment horizontal="centerContinuous" wrapText="1"/>
    </xf>
    <xf numFmtId="0" fontId="26" fillId="0" borderId="14" xfId="14" applyFont="1" applyFill="1" applyBorder="1"/>
    <xf numFmtId="0" fontId="26" fillId="0" borderId="21" xfId="14" applyFont="1" applyFill="1" applyBorder="1"/>
    <xf numFmtId="179" fontId="26" fillId="0" borderId="21" xfId="57" applyNumberFormat="1" applyFont="1" applyFill="1" applyBorder="1" applyAlignment="1" applyProtection="1">
      <alignment horizontal="centerContinuous" wrapText="1"/>
    </xf>
    <xf numFmtId="0" fontId="1" fillId="0" borderId="0" xfId="14" applyFont="1" applyFill="1" applyBorder="1"/>
    <xf numFmtId="0" fontId="1" fillId="0" borderId="0" xfId="14" applyFill="1" applyBorder="1"/>
    <xf numFmtId="179" fontId="1" fillId="0" borderId="0" xfId="14" applyNumberFormat="1" applyFill="1" applyBorder="1"/>
    <xf numFmtId="0" fontId="2" fillId="0" borderId="14" xfId="14" applyFont="1" applyFill="1"/>
    <xf numFmtId="179" fontId="2" fillId="0" borderId="14" xfId="57" applyNumberFormat="1" applyFont="1" applyFill="1" applyBorder="1" applyAlignment="1" applyProtection="1">
      <alignment horizontal="centerContinuous" wrapText="1"/>
    </xf>
    <xf numFmtId="49" fontId="13" fillId="0" borderId="0" xfId="6" applyFill="1" applyAlignment="1">
      <alignment horizontal="left"/>
    </xf>
    <xf numFmtId="49" fontId="13" fillId="0" borderId="0" xfId="6"/>
    <xf numFmtId="179" fontId="2" fillId="0" borderId="0" xfId="57" applyNumberFormat="1" applyFont="1" applyFill="1" applyBorder="1" applyAlignment="1" applyProtection="1">
      <alignment horizontal="centerContinuous" wrapText="1"/>
    </xf>
    <xf numFmtId="0" fontId="1" fillId="38" borderId="14" xfId="14" applyFill="1"/>
    <xf numFmtId="179" fontId="1" fillId="38" borderId="14" xfId="14" applyNumberFormat="1" applyFill="1"/>
    <xf numFmtId="0" fontId="0" fillId="38" borderId="14" xfId="14" applyFont="1" applyFill="1"/>
    <xf numFmtId="49" fontId="0" fillId="38" borderId="14" xfId="14" applyNumberFormat="1" applyFont="1" applyFill="1"/>
    <xf numFmtId="179" fontId="1" fillId="38" borderId="14" xfId="57" applyNumberFormat="1" applyFont="1" applyFill="1" applyBorder="1" applyProtection="1"/>
    <xf numFmtId="10" fontId="18" fillId="0" borderId="14" xfId="51" applyNumberFormat="1" applyFill="1"/>
    <xf numFmtId="0" fontId="0" fillId="0" borderId="0" xfId="0" applyFill="1"/>
    <xf numFmtId="167" fontId="0" fillId="0" borderId="17" xfId="0" applyNumberFormat="1" applyFill="1" applyBorder="1"/>
    <xf numFmtId="167" fontId="0" fillId="0" borderId="0" xfId="0" applyNumberFormat="1" applyFill="1"/>
    <xf numFmtId="182" fontId="0" fillId="0" borderId="0" xfId="0" applyNumberFormat="1" applyFill="1"/>
    <xf numFmtId="183" fontId="2" fillId="0" borderId="0" xfId="57" applyNumberFormat="1" applyFont="1" applyFill="1" applyBorder="1" applyAlignment="1" applyProtection="1">
      <alignment horizontal="left" wrapText="1"/>
    </xf>
    <xf numFmtId="179" fontId="12" fillId="0" borderId="14" xfId="57" applyNumberFormat="1" applyFont="1" applyFill="1" applyBorder="1" applyProtection="1"/>
    <xf numFmtId="0" fontId="16" fillId="35" borderId="14" xfId="64" applyFont="1" applyAlignment="1" applyProtection="1">
      <alignment horizontal="right"/>
      <protection locked="0"/>
    </xf>
    <xf numFmtId="175" fontId="18" fillId="0" borderId="14" xfId="51" applyNumberFormat="1" applyFill="1" applyAlignment="1">
      <alignment horizontal="right"/>
    </xf>
    <xf numFmtId="49" fontId="28" fillId="0" borderId="0" xfId="20" applyFont="1">
      <alignment horizontal="left" indent="1"/>
    </xf>
    <xf numFmtId="49" fontId="19" fillId="0" borderId="0" xfId="5" applyFill="1"/>
    <xf numFmtId="49" fontId="22" fillId="0" borderId="0" xfId="20" applyAlignment="1">
      <alignment horizontal="left" vertical="center" indent="1"/>
    </xf>
    <xf numFmtId="49" fontId="22" fillId="0" borderId="0" xfId="20" applyFill="1" applyAlignment="1">
      <alignment horizontal="left" vertical="top" indent="1"/>
    </xf>
    <xf numFmtId="0" fontId="17" fillId="0" borderId="0" xfId="47" applyNumberFormat="1" applyFont="1" applyFill="1" applyBorder="1" applyAlignment="1">
      <alignment horizontal="centerContinuous" wrapText="1"/>
    </xf>
    <xf numFmtId="0" fontId="17" fillId="0" borderId="14" xfId="52" applyFill="1" applyBorder="1">
      <alignment horizontal="centerContinuous" wrapText="1"/>
    </xf>
    <xf numFmtId="179" fontId="27" fillId="37" borderId="16" xfId="57" applyNumberFormat="1" applyFont="1" applyFill="1" applyBorder="1" applyAlignment="1" applyProtection="1">
      <alignment horizontal="centerContinuous" wrapText="1"/>
    </xf>
    <xf numFmtId="49" fontId="22" fillId="0" borderId="17" xfId="20" applyBorder="1">
      <alignment horizontal="left" indent="1"/>
    </xf>
    <xf numFmtId="179" fontId="2" fillId="0" borderId="17" xfId="57" applyNumberFormat="1" applyFont="1" applyFill="1" applyBorder="1" applyAlignment="1" applyProtection="1">
      <alignment horizontal="centerContinuous" wrapText="1"/>
    </xf>
    <xf numFmtId="179" fontId="1" fillId="0" borderId="16" xfId="14" applyNumberFormat="1" applyFill="1" applyBorder="1"/>
    <xf numFmtId="179" fontId="12" fillId="0" borderId="16" xfId="57" applyNumberFormat="1" applyFont="1" applyFill="1" applyBorder="1" applyAlignment="1" applyProtection="1">
      <alignment horizontal="centerContinuous" wrapText="1"/>
    </xf>
    <xf numFmtId="179" fontId="12" fillId="0" borderId="16" xfId="57" applyNumberFormat="1" applyFont="1" applyFill="1" applyBorder="1" applyProtection="1"/>
    <xf numFmtId="0" fontId="17" fillId="0" borderId="16" xfId="52" applyFill="1" applyBorder="1">
      <alignment horizontal="centerContinuous" wrapText="1"/>
    </xf>
    <xf numFmtId="0" fontId="16" fillId="35" borderId="14" xfId="64" applyNumberFormat="1" applyFont="1" applyProtection="1">
      <protection locked="0"/>
    </xf>
    <xf numFmtId="0" fontId="32" fillId="0" borderId="0" xfId="0" applyFont="1" applyAlignment="1">
      <alignment horizontal="right"/>
    </xf>
    <xf numFmtId="0" fontId="32" fillId="0" borderId="22" xfId="0" applyFont="1" applyBorder="1" applyAlignment="1"/>
    <xf numFmtId="0" fontId="16" fillId="0" borderId="14" xfId="64" applyFont="1" applyFill="1" applyAlignment="1" applyProtection="1">
      <alignment horizontal="right"/>
      <protection locked="0"/>
    </xf>
    <xf numFmtId="0" fontId="16" fillId="0" borderId="14" xfId="64" applyNumberFormat="1" applyFont="1" applyFill="1" applyProtection="1">
      <protection locked="0"/>
    </xf>
    <xf numFmtId="0" fontId="0" fillId="35" borderId="14" xfId="64" applyFont="1"/>
    <xf numFmtId="173" fontId="1" fillId="0" borderId="14" xfId="49" applyNumberFormat="1" applyFont="1" applyFill="1" applyBorder="1" applyAlignment="1" applyProtection="1"/>
    <xf numFmtId="179" fontId="16" fillId="0" borderId="14" xfId="57" applyNumberFormat="1" applyFont="1" applyFill="1" applyBorder="1">
      <protection locked="0"/>
    </xf>
    <xf numFmtId="179" fontId="27" fillId="37" borderId="14" xfId="14" applyNumberFormat="1" applyFont="1" applyFill="1"/>
    <xf numFmtId="49" fontId="19" fillId="39" borderId="0" xfId="5" applyFill="1"/>
    <xf numFmtId="0" fontId="0" fillId="39" borderId="0" xfId="0" applyFill="1"/>
    <xf numFmtId="0" fontId="0" fillId="0" borderId="14" xfId="14" applyFont="1" applyFill="1" applyAlignment="1">
      <alignment horizontal="left" wrapText="1"/>
    </xf>
    <xf numFmtId="0" fontId="22" fillId="0" borderId="0" xfId="20" applyNumberFormat="1" applyFill="1">
      <alignment horizontal="left" indent="1"/>
    </xf>
    <xf numFmtId="179" fontId="22" fillId="0" borderId="0" xfId="20" applyNumberFormat="1">
      <alignment horizontal="left" indent="1"/>
    </xf>
    <xf numFmtId="179" fontId="33" fillId="35" borderId="14" xfId="64" applyNumberFormat="1" applyFont="1"/>
    <xf numFmtId="179" fontId="27" fillId="38" borderId="14" xfId="14" applyNumberFormat="1" applyFont="1" applyFill="1"/>
    <xf numFmtId="179" fontId="27" fillId="38" borderId="14" xfId="57" applyNumberFormat="1" applyFont="1" applyFill="1" applyBorder="1" applyProtection="1"/>
    <xf numFmtId="179" fontId="27" fillId="37" borderId="14" xfId="57" applyNumberFormat="1" applyFont="1" applyFill="1" applyBorder="1" applyAlignment="1" applyProtection="1"/>
    <xf numFmtId="179" fontId="34" fillId="37" borderId="14" xfId="57" applyNumberFormat="1" applyFont="1" applyFill="1" applyBorder="1" applyAlignment="1" applyProtection="1">
      <alignment horizontal="centerContinuous" wrapText="1"/>
    </xf>
    <xf numFmtId="179" fontId="27" fillId="37" borderId="0" xfId="14" applyNumberFormat="1" applyFont="1" applyFill="1" applyBorder="1"/>
    <xf numFmtId="179" fontId="35" fillId="37" borderId="20" xfId="57" applyNumberFormat="1" applyFont="1" applyFill="1" applyBorder="1" applyAlignment="1" applyProtection="1">
      <alignment horizontal="centerContinuous" wrapText="1"/>
    </xf>
    <xf numFmtId="179" fontId="35" fillId="37" borderId="14" xfId="57" applyNumberFormat="1" applyFont="1" applyFill="1" applyBorder="1" applyAlignment="1" applyProtection="1">
      <alignment horizontal="centerContinuous" wrapText="1"/>
    </xf>
    <xf numFmtId="179" fontId="35" fillId="37" borderId="21" xfId="57" applyNumberFormat="1" applyFont="1" applyFill="1" applyBorder="1" applyAlignment="1" applyProtection="1">
      <alignment horizontal="centerContinuous" wrapText="1"/>
    </xf>
    <xf numFmtId="0" fontId="0" fillId="0" borderId="13" xfId="0" applyFill="1" applyBorder="1"/>
    <xf numFmtId="0" fontId="0" fillId="0" borderId="10" xfId="0" applyFill="1" applyBorder="1"/>
    <xf numFmtId="0" fontId="0" fillId="0" borderId="0" xfId="0" applyFill="1" applyBorder="1"/>
    <xf numFmtId="0" fontId="0" fillId="0" borderId="9" xfId="0" applyFill="1" applyBorder="1"/>
    <xf numFmtId="49" fontId="19" fillId="0" borderId="10" xfId="5" applyFill="1" applyBorder="1" applyAlignment="1">
      <alignment horizontal="centerContinuous"/>
    </xf>
    <xf numFmtId="0" fontId="0" fillId="0" borderId="0" xfId="0" applyFill="1" applyBorder="1" applyAlignment="1">
      <alignment horizontal="centerContinuous"/>
    </xf>
    <xf numFmtId="0" fontId="0" fillId="0" borderId="9" xfId="0" applyFill="1" applyBorder="1" applyAlignment="1">
      <alignment horizontal="centerContinuous"/>
    </xf>
    <xf numFmtId="15" fontId="23" fillId="0" borderId="10" xfId="0" applyNumberFormat="1" applyFont="1" applyFill="1" applyBorder="1" applyAlignment="1">
      <alignment horizontal="centerContinuous"/>
    </xf>
    <xf numFmtId="49" fontId="19" fillId="0" borderId="13" xfId="5" applyBorder="1"/>
    <xf numFmtId="0" fontId="0" fillId="0" borderId="12" xfId="0" applyBorder="1"/>
    <xf numFmtId="0" fontId="0" fillId="0" borderId="10" xfId="0" applyBorder="1"/>
    <xf numFmtId="0" fontId="36" fillId="35" borderId="23" xfId="0" applyFont="1" applyFill="1" applyBorder="1"/>
    <xf numFmtId="0" fontId="36" fillId="35" borderId="24" xfId="0" applyFont="1" applyFill="1" applyBorder="1"/>
    <xf numFmtId="49" fontId="0" fillId="34" borderId="25" xfId="0" applyNumberFormat="1" applyFill="1" applyBorder="1"/>
    <xf numFmtId="49" fontId="0" fillId="34" borderId="29" xfId="0" applyNumberFormat="1" applyFill="1" applyBorder="1"/>
    <xf numFmtId="0" fontId="24" fillId="34" borderId="26" xfId="58" applyFill="1" applyBorder="1" applyAlignment="1" applyProtection="1"/>
    <xf numFmtId="49" fontId="0" fillId="34" borderId="27" xfId="0" applyNumberFormat="1" applyFill="1" applyBorder="1"/>
    <xf numFmtId="0" fontId="24" fillId="34" borderId="28" xfId="58" applyFill="1" applyBorder="1" applyAlignment="1" applyProtection="1">
      <alignment horizontal="left" indent="1"/>
    </xf>
    <xf numFmtId="0" fontId="24" fillId="34" borderId="30" xfId="58" applyFill="1" applyBorder="1" applyAlignment="1" applyProtection="1"/>
    <xf numFmtId="0" fontId="0" fillId="0" borderId="7" xfId="0" applyBorder="1"/>
    <xf numFmtId="0" fontId="0" fillId="0" borderId="11" xfId="0" applyBorder="1"/>
    <xf numFmtId="0" fontId="0" fillId="0" borderId="9" xfId="0" applyBorder="1"/>
    <xf numFmtId="0" fontId="0" fillId="0" borderId="8" xfId="0" applyBorder="1"/>
    <xf numFmtId="0" fontId="0" fillId="0" borderId="6" xfId="0" applyBorder="1"/>
    <xf numFmtId="0" fontId="0" fillId="0" borderId="14" xfId="14" applyFont="1" applyFill="1" applyAlignment="1">
      <alignment vertical="top" wrapText="1"/>
    </xf>
    <xf numFmtId="0" fontId="1" fillId="0" borderId="14" xfId="14" applyFill="1" applyAlignment="1">
      <alignment wrapText="1"/>
    </xf>
    <xf numFmtId="0" fontId="0" fillId="0" borderId="14" xfId="14" applyFont="1" applyFill="1" applyAlignment="1">
      <alignment horizontal="left" vertical="top" wrapText="1"/>
    </xf>
    <xf numFmtId="0" fontId="2" fillId="0" borderId="14" xfId="14" applyFont="1" applyFill="1" applyAlignment="1">
      <alignment horizontal="left" vertical="top" wrapText="1"/>
    </xf>
    <xf numFmtId="0" fontId="1" fillId="0" borderId="14" xfId="14" applyFill="1" applyAlignment="1">
      <alignment horizontal="left" vertical="top" wrapText="1"/>
    </xf>
    <xf numFmtId="0" fontId="0" fillId="0" borderId="14" xfId="14" applyFont="1" applyFill="1" applyAlignment="1">
      <alignment horizontal="left" wrapText="1"/>
    </xf>
  </cellXfs>
  <cellStyles count="68">
    <cellStyle name="20% - Accent1" xfId="23" builtinId="30" hidden="1"/>
    <cellStyle name="20% - Accent2" xfId="27" builtinId="34" hidden="1"/>
    <cellStyle name="20% - Accent3" xfId="31" builtinId="38" hidden="1"/>
    <cellStyle name="20% - Accent4" xfId="35" builtinId="42" hidden="1"/>
    <cellStyle name="20% - Accent5" xfId="39" builtinId="46" hidden="1"/>
    <cellStyle name="20% - Accent6" xfId="43" builtinId="50" hidden="1"/>
    <cellStyle name="40% - Accent1" xfId="24" builtinId="31" hidden="1"/>
    <cellStyle name="40% - Accent2" xfId="28" builtinId="35" hidden="1"/>
    <cellStyle name="40% - Accent3" xfId="32" builtinId="39" hidden="1"/>
    <cellStyle name="40% - Accent4" xfId="36" builtinId="43" hidden="1"/>
    <cellStyle name="40% - Accent5" xfId="40" builtinId="47" hidden="1"/>
    <cellStyle name="40% - Accent6" xfId="44" builtinId="51" hidden="1"/>
    <cellStyle name="60% - Accent1" xfId="25" builtinId="32" hidden="1"/>
    <cellStyle name="60% - Accent2" xfId="29" builtinId="36" hidden="1"/>
    <cellStyle name="60% - Accent3" xfId="33" builtinId="40" hidden="1"/>
    <cellStyle name="60% - Accent4" xfId="37" builtinId="44" hidden="1"/>
    <cellStyle name="60% - Accent5" xfId="41" builtinId="48" hidden="1"/>
    <cellStyle name="60% - Accent6" xfId="45" builtinId="52" hidden="1"/>
    <cellStyle name="Accent1" xfId="22" builtinId="29" hidden="1"/>
    <cellStyle name="Accent2" xfId="26" builtinId="33" hidden="1"/>
    <cellStyle name="Accent3" xfId="30" builtinId="37" hidden="1"/>
    <cellStyle name="Accent4" xfId="34" builtinId="41" hidden="1"/>
    <cellStyle name="Accent5" xfId="38" builtinId="45" hidden="1"/>
    <cellStyle name="Accent6" xfId="42" builtinId="49" hidden="1"/>
    <cellStyle name="Array" xfId="64" xr:uid="{07691C0A-FD31-4313-8425-4D1A5051034B}"/>
    <cellStyle name="Bad" xfId="11" builtinId="27" hidden="1"/>
    <cellStyle name="Calculation" xfId="15" builtinId="22" hidden="1"/>
    <cellStyle name="Check Cell" xfId="17" builtinId="23" hidden="1"/>
    <cellStyle name="Comma" xfId="1" builtinId="3" hidden="1"/>
    <cellStyle name="Comma [0]" xfId="2" builtinId="6" customBuiltin="1"/>
    <cellStyle name="Comma [1]" xfId="57" xr:uid="{00000000-0005-0000-0000-00001D000000}"/>
    <cellStyle name="Comma [2]" xfId="55" xr:uid="{00000000-0005-0000-0000-00001E000000}"/>
    <cellStyle name="Comma [3]" xfId="63" xr:uid="{A1D469F7-D750-4585-894C-4600530DCF29}"/>
    <cellStyle name="Comma [4]" xfId="54" xr:uid="{00000000-0005-0000-0000-00001F000000}"/>
    <cellStyle name="Currency" xfId="3" builtinId="4" hidden="1"/>
    <cellStyle name="Currency [0]" xfId="4" builtinId="7" hidden="1"/>
    <cellStyle name="Currency 2" xfId="66" xr:uid="{F271A4B5-8FF1-4CCC-ABEF-D452AB80A3DF}"/>
    <cellStyle name="Date (short)" xfId="53" xr:uid="{00000000-0005-0000-0000-000022000000}"/>
    <cellStyle name="Explanatory Text" xfId="20" builtinId="53" customBuiltin="1"/>
    <cellStyle name="Followed Hyperlink" xfId="61" builtinId="9" customBuiltin="1"/>
    <cellStyle name="Good" xfId="10" builtinId="26" hidden="1"/>
    <cellStyle name="Heading 1" xfId="6" builtinId="16" customBuiltin="1"/>
    <cellStyle name="Heading 2" xfId="7" builtinId="17" customBuiltin="1"/>
    <cellStyle name="Heading 3" xfId="8" builtinId="18" customBuiltin="1"/>
    <cellStyle name="Heading 4" xfId="9" builtinId="19" hidden="1"/>
    <cellStyle name="Hyperlink" xfId="58" builtinId="8" customBuiltin="1"/>
    <cellStyle name="Hyperlink 2" xfId="67" xr:uid="{DB80C9DD-E9F2-4FFD-ADE8-92B8F1C4AD6F}"/>
    <cellStyle name="Input" xfId="13" builtinId="20" customBuiltin="1"/>
    <cellStyle name="Label" xfId="52" xr:uid="{00000000-0005-0000-0000-00002B000000}"/>
    <cellStyle name="Link" xfId="51" xr:uid="{00000000-0005-0000-0000-00002C000000}"/>
    <cellStyle name="Link 2" xfId="65" xr:uid="{491D2F75-F110-4094-8DD0-6FB740AB7C0E}"/>
    <cellStyle name="Linked Cell" xfId="16" builtinId="24" hidden="1"/>
    <cellStyle name="Neutral" xfId="12" builtinId="28" hidden="1"/>
    <cellStyle name="Normal" xfId="0" builtinId="0" customBuiltin="1"/>
    <cellStyle name="Note" xfId="19" builtinId="10" hidden="1"/>
    <cellStyle name="Output" xfId="14" builtinId="21" customBuiltin="1"/>
    <cellStyle name="Percent" xfId="59" builtinId="5" hidden="1" customBuiltin="1"/>
    <cellStyle name="Percent [0]" xfId="60" xr:uid="{00000000-0005-0000-0000-000033000000}"/>
    <cellStyle name="Percent [1]" xfId="50" xr:uid="{00000000-0005-0000-0000-000034000000}"/>
    <cellStyle name="Percent [2]" xfId="49" xr:uid="{00000000-0005-0000-0000-000035000000}"/>
    <cellStyle name="Percent [3]" xfId="48" xr:uid="{00000000-0005-0000-0000-000036000000}"/>
    <cellStyle name="Percent [4]" xfId="62" xr:uid="{79194CCB-4C1F-48BE-9FC9-8A0A23BD7FB1}"/>
    <cellStyle name="Rt border" xfId="47" xr:uid="{00000000-0005-0000-0000-000037000000}"/>
    <cellStyle name="Text" xfId="56" xr:uid="{00000000-0005-0000-0000-000038000000}"/>
    <cellStyle name="Title" xfId="5" builtinId="15" customBuiltin="1"/>
    <cellStyle name="Total" xfId="21" builtinId="25" hidden="1"/>
    <cellStyle name="Warning Text" xfId="18" builtinId="11" hidden="1"/>
    <cellStyle name="Year" xfId="46" xr:uid="{00000000-0005-0000-0000-00003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142875</xdr:rowOff>
    </xdr:from>
    <xdr:to>
      <xdr:col>1</xdr:col>
      <xdr:colOff>879760</xdr:colOff>
      <xdr:row>1</xdr:row>
      <xdr:rowOff>657975</xdr:rowOff>
    </xdr:to>
    <xdr:pic>
      <xdr:nvPicPr>
        <xdr:cNvPr id="2" name="Picture 1">
          <a:extLst>
            <a:ext uri="{FF2B5EF4-FFF2-40B4-BE49-F238E27FC236}">
              <a16:creationId xmlns:a16="http://schemas.microsoft.com/office/drawing/2014/main" id="{64E6AAB4-6A4B-44B6-BA81-174689C0B8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42875"/>
          <a:ext cx="2337085" cy="705600"/>
        </a:xfrm>
        <a:prstGeom prst="rect">
          <a:avLst/>
        </a:prstGeom>
      </xdr:spPr>
    </xdr:pic>
    <xdr:clientData/>
  </xdr:twoCellAnchor>
  <xdr:twoCellAnchor editAs="oneCell">
    <xdr:from>
      <xdr:col>0</xdr:col>
      <xdr:colOff>0</xdr:colOff>
      <xdr:row>1</xdr:row>
      <xdr:rowOff>2247900</xdr:rowOff>
    </xdr:from>
    <xdr:to>
      <xdr:col>4</xdr:col>
      <xdr:colOff>0</xdr:colOff>
      <xdr:row>15</xdr:row>
      <xdr:rowOff>38100</xdr:rowOff>
    </xdr:to>
    <xdr:pic>
      <xdr:nvPicPr>
        <xdr:cNvPr id="3" name="Picture 2">
          <a:extLst>
            <a:ext uri="{FF2B5EF4-FFF2-40B4-BE49-F238E27FC236}">
              <a16:creationId xmlns:a16="http://schemas.microsoft.com/office/drawing/2014/main" id="{5DDF1084-5C58-4DD6-9826-13543082EE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438400"/>
          <a:ext cx="8982075" cy="3390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Commission Bronze">
  <a:themeElements>
    <a:clrScheme name="Office">
      <a:dk1>
        <a:srgbClr val="000000"/>
      </a:dk1>
      <a:lt1>
        <a:srgbClr val="FFFFFF"/>
      </a:lt1>
      <a:dk2>
        <a:srgbClr val="F9F9F5"/>
      </a:dk2>
      <a:lt2>
        <a:srgbClr val="C00000"/>
      </a:lt2>
      <a:accent1>
        <a:srgbClr val="EAE8DA"/>
      </a:accent1>
      <a:accent2>
        <a:srgbClr val="D7D3BB"/>
      </a:accent2>
      <a:accent3>
        <a:srgbClr val="C9C4A3"/>
      </a:accent3>
      <a:accent4>
        <a:srgbClr val="B0A978"/>
      </a:accent4>
      <a:accent5>
        <a:srgbClr val="968F58"/>
      </a:accent5>
      <a:accent6>
        <a:srgbClr val="645F3A"/>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05BAB-1950-4E6F-8036-33BB5ADFB2D3}">
  <sheetPr codeName="Sheet2">
    <pageSetUpPr fitToPage="1"/>
  </sheetPr>
  <dimension ref="A1:E18"/>
  <sheetViews>
    <sheetView showGridLines="0" tabSelected="1" view="pageBreakPreview" zoomScaleNormal="100" zoomScaleSheetLayoutView="100" workbookViewId="0"/>
  </sheetViews>
  <sheetFormatPr defaultColWidth="9.140625" defaultRowHeight="15" customHeight="1" x14ac:dyDescent="0.25"/>
  <cols>
    <col min="1" max="1" width="26.5703125" customWidth="1"/>
    <col min="2" max="2" width="43.140625" customWidth="1"/>
    <col min="3" max="3" width="32.7109375" customWidth="1"/>
    <col min="4" max="4" width="32.28515625" customWidth="1"/>
  </cols>
  <sheetData>
    <row r="1" spans="1:5" ht="15" customHeight="1" x14ac:dyDescent="0.25">
      <c r="A1" s="116"/>
      <c r="B1" s="4"/>
      <c r="C1" s="4"/>
      <c r="D1" s="3"/>
      <c r="E1" s="1"/>
    </row>
    <row r="2" spans="1:5" ht="189" customHeight="1" x14ac:dyDescent="0.25">
      <c r="A2" s="117"/>
      <c r="B2" s="118"/>
      <c r="C2" s="118"/>
      <c r="D2" s="119"/>
      <c r="E2" s="1"/>
    </row>
    <row r="3" spans="1:5" ht="22.5" customHeight="1" x14ac:dyDescent="0.4">
      <c r="A3" s="120" t="s">
        <v>132</v>
      </c>
      <c r="B3" s="121"/>
      <c r="C3" s="121"/>
      <c r="D3" s="122"/>
      <c r="E3" s="1"/>
    </row>
    <row r="4" spans="1:5" ht="22.5" customHeight="1" x14ac:dyDescent="0.4">
      <c r="A4" s="120" t="s">
        <v>39</v>
      </c>
      <c r="B4" s="121"/>
      <c r="C4" s="121"/>
      <c r="D4" s="122"/>
      <c r="E4" s="1"/>
    </row>
    <row r="5" spans="1:5" ht="22.5" customHeight="1" x14ac:dyDescent="0.4">
      <c r="A5" s="120" t="s">
        <v>38</v>
      </c>
      <c r="B5" s="121"/>
      <c r="C5" s="121"/>
      <c r="D5" s="122"/>
      <c r="E5" s="1"/>
    </row>
    <row r="6" spans="1:5" ht="22.5" customHeight="1" x14ac:dyDescent="0.4">
      <c r="A6" s="120"/>
      <c r="B6" s="121"/>
      <c r="C6" s="121"/>
      <c r="D6" s="122"/>
      <c r="E6" s="1"/>
    </row>
    <row r="7" spans="1:5" ht="42" customHeight="1" x14ac:dyDescent="0.25">
      <c r="A7" s="117"/>
      <c r="B7" s="118"/>
      <c r="C7" s="118"/>
      <c r="D7" s="119"/>
      <c r="E7" s="1"/>
    </row>
    <row r="8" spans="1:5" ht="15" customHeight="1" x14ac:dyDescent="0.25">
      <c r="A8" s="117"/>
      <c r="B8" s="118"/>
      <c r="C8" s="118"/>
      <c r="D8" s="119"/>
      <c r="E8" s="1"/>
    </row>
    <row r="9" spans="1:5" ht="15" customHeight="1" x14ac:dyDescent="0.25">
      <c r="A9" s="117"/>
      <c r="B9" s="118"/>
      <c r="C9" s="118"/>
      <c r="D9" s="119"/>
      <c r="E9" s="1"/>
    </row>
    <row r="10" spans="1:5" ht="15" customHeight="1" x14ac:dyDescent="0.25">
      <c r="A10" s="117"/>
      <c r="B10" s="118"/>
      <c r="C10" s="118"/>
      <c r="D10" s="119"/>
      <c r="E10" s="1"/>
    </row>
    <row r="11" spans="1:5" ht="15" customHeight="1" x14ac:dyDescent="0.25">
      <c r="A11" s="117"/>
      <c r="B11" s="118"/>
      <c r="C11" s="118"/>
      <c r="D11" s="119"/>
      <c r="E11" s="1"/>
    </row>
    <row r="12" spans="1:5" ht="15" customHeight="1" x14ac:dyDescent="0.25">
      <c r="A12" s="117"/>
      <c r="B12" s="118"/>
      <c r="C12" s="118"/>
      <c r="D12" s="119"/>
      <c r="E12" s="1"/>
    </row>
    <row r="13" spans="1:5" ht="15" customHeight="1" x14ac:dyDescent="0.25">
      <c r="A13" s="117"/>
      <c r="B13" s="118"/>
      <c r="C13" s="118"/>
      <c r="D13" s="119"/>
      <c r="E13" s="1"/>
    </row>
    <row r="14" spans="1:5" ht="15" customHeight="1" x14ac:dyDescent="0.25">
      <c r="A14" s="117"/>
      <c r="B14" s="118"/>
      <c r="C14" s="118"/>
      <c r="D14" s="119"/>
      <c r="E14" s="1"/>
    </row>
    <row r="15" spans="1:5" ht="15" customHeight="1" x14ac:dyDescent="0.25">
      <c r="A15" s="117"/>
      <c r="B15" s="118"/>
      <c r="C15" s="118"/>
      <c r="D15" s="119"/>
      <c r="E15" s="1"/>
    </row>
    <row r="16" spans="1:5" ht="15" customHeight="1" x14ac:dyDescent="0.25">
      <c r="A16" s="117"/>
      <c r="B16" s="118"/>
      <c r="C16" s="118"/>
      <c r="D16" s="119"/>
      <c r="E16" s="1"/>
    </row>
    <row r="17" spans="1:5" ht="15" customHeight="1" x14ac:dyDescent="0.25">
      <c r="A17" s="123" t="s">
        <v>131</v>
      </c>
      <c r="B17" s="121"/>
      <c r="C17" s="121"/>
      <c r="D17" s="122"/>
      <c r="E17" s="1"/>
    </row>
    <row r="18" spans="1:5" ht="15" customHeight="1" x14ac:dyDescent="0.25">
      <c r="A18" s="135"/>
      <c r="B18" s="135"/>
      <c r="C18" s="135"/>
      <c r="D18" s="135"/>
    </row>
  </sheetData>
  <sheetProtection formatColumns="0" formatRows="0"/>
  <pageMargins left="0.70866141732283472" right="0.70866141732283472" top="0.74803149606299213" bottom="0.74803149606299213" header="0.31496062992125984" footer="0.31496062992125984"/>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03606-30A6-4003-ACE5-DDDD67B6EED2}">
  <sheetPr codeName="Sheet6">
    <pageSetUpPr fitToPage="1"/>
  </sheetPr>
  <dimension ref="A1:D14"/>
  <sheetViews>
    <sheetView showGridLines="0" view="pageBreakPreview" zoomScaleNormal="100" zoomScaleSheetLayoutView="100" workbookViewId="0"/>
  </sheetViews>
  <sheetFormatPr defaultRowHeight="15" customHeight="1" x14ac:dyDescent="0.25"/>
  <cols>
    <col min="2" max="2" width="30.42578125" customWidth="1"/>
    <col min="3" max="3" width="95.28515625" customWidth="1"/>
  </cols>
  <sheetData>
    <row r="1" spans="1:4" ht="26.25" x14ac:dyDescent="0.4">
      <c r="A1" s="124" t="s">
        <v>128</v>
      </c>
      <c r="B1" s="125"/>
      <c r="C1" s="125"/>
      <c r="D1" s="136"/>
    </row>
    <row r="2" spans="1:4" x14ac:dyDescent="0.25">
      <c r="A2" s="126"/>
      <c r="B2" s="2"/>
      <c r="C2" s="2"/>
      <c r="D2" s="137"/>
    </row>
    <row r="3" spans="1:4" ht="15.75" thickBot="1" x14ac:dyDescent="0.3">
      <c r="A3" s="126"/>
      <c r="B3" s="2"/>
      <c r="C3" s="2"/>
      <c r="D3" s="137"/>
    </row>
    <row r="4" spans="1:4" ht="15.75" x14ac:dyDescent="0.25">
      <c r="A4" s="126"/>
      <c r="B4" s="127" t="s">
        <v>129</v>
      </c>
      <c r="C4" s="128" t="s">
        <v>130</v>
      </c>
      <c r="D4" s="137"/>
    </row>
    <row r="5" spans="1:4" x14ac:dyDescent="0.25">
      <c r="A5" s="126"/>
      <c r="B5" s="129" t="s">
        <v>135</v>
      </c>
      <c r="C5" s="131" t="s">
        <v>63</v>
      </c>
      <c r="D5" s="137"/>
    </row>
    <row r="6" spans="1:4" x14ac:dyDescent="0.25">
      <c r="A6" s="126"/>
      <c r="B6" s="129" t="s">
        <v>135</v>
      </c>
      <c r="C6" s="131" t="s">
        <v>0</v>
      </c>
      <c r="D6" s="137"/>
    </row>
    <row r="7" spans="1:4" x14ac:dyDescent="0.25">
      <c r="A7" s="126"/>
      <c r="B7" s="132"/>
      <c r="C7" s="133" t="s">
        <v>41</v>
      </c>
      <c r="D7" s="137"/>
    </row>
    <row r="8" spans="1:4" x14ac:dyDescent="0.25">
      <c r="A8" s="126"/>
      <c r="B8" s="132"/>
      <c r="C8" s="133" t="s">
        <v>44</v>
      </c>
      <c r="D8" s="137"/>
    </row>
    <row r="9" spans="1:4" x14ac:dyDescent="0.25">
      <c r="A9" s="126"/>
      <c r="B9" s="129" t="s">
        <v>135</v>
      </c>
      <c r="C9" s="131" t="s">
        <v>1</v>
      </c>
      <c r="D9" s="137"/>
    </row>
    <row r="10" spans="1:4" x14ac:dyDescent="0.25">
      <c r="A10" s="126"/>
      <c r="B10" s="132"/>
      <c r="C10" s="133" t="s">
        <v>31</v>
      </c>
      <c r="D10" s="137"/>
    </row>
    <row r="11" spans="1:4" x14ac:dyDescent="0.25">
      <c r="A11" s="126"/>
      <c r="B11" s="132"/>
      <c r="C11" s="133" t="s">
        <v>49</v>
      </c>
      <c r="D11" s="137"/>
    </row>
    <row r="12" spans="1:4" ht="15" customHeight="1" x14ac:dyDescent="0.25">
      <c r="A12" s="126"/>
      <c r="B12" s="132"/>
      <c r="C12" s="133" t="s">
        <v>55</v>
      </c>
      <c r="D12" s="137"/>
    </row>
    <row r="13" spans="1:4" ht="15" customHeight="1" thickBot="1" x14ac:dyDescent="0.3">
      <c r="A13" s="126"/>
      <c r="B13" s="130" t="s">
        <v>135</v>
      </c>
      <c r="C13" s="134" t="s">
        <v>29</v>
      </c>
      <c r="D13" s="137"/>
    </row>
    <row r="14" spans="1:4" ht="15" customHeight="1" x14ac:dyDescent="0.25">
      <c r="A14" s="138"/>
      <c r="B14" s="135"/>
      <c r="C14" s="135"/>
      <c r="D14" s="139"/>
    </row>
  </sheetData>
  <sheetProtection formatColumns="0" formatRows="0"/>
  <hyperlinks>
    <hyperlink ref="C5" location="'Equivalence calculations'!$A$1" tooltip="Section title. Click once to follow" display="Right of use assets under the TP IMs" xr:uid="{A07ECFFE-DD4D-4B20-88A6-0812FF0712F6}"/>
    <hyperlink ref="C6" location="'Equivalence calculations'!$A$2" tooltip="Section subtitle. Click once to follow" display="Inputs" xr:uid="{49AD7846-F410-44A7-92B3-7E1021D05C0E}"/>
    <hyperlink ref="C7" location="'Equivalence calculations'!$A$4" tooltip="Section subtitle. Click once to follow" display="User inputs" xr:uid="{344564AC-4972-40EF-9136-28C7704555BD}"/>
    <hyperlink ref="C8" location="'Equivalence calculations'!$A$15" tooltip="Section subtitle. Click once to follow" display="Fixed inputs" xr:uid="{5FF1CB36-DC61-48F8-A99C-3821E064F6E8}"/>
    <hyperlink ref="C9" location="'Equivalence calculations'!$A$21" tooltip="Section subtitle. Click once to follow" display="Calculations" xr:uid="{9BE4D72D-A02B-4654-B911-C762B12D121B}"/>
    <hyperlink ref="C10" location="'Equivalence calculations'!$A$26" tooltip="Section subtitle. Click once to follow" display="Determining the initial value of the right of use asset" xr:uid="{0783CB62-ED26-409E-9C06-11B7B6056432}"/>
    <hyperlink ref="C11" location="'Equivalence calculations'!$A$34" tooltip="Section subtitle. Click once to follow" display="GAAP treatment of right of use asset" xr:uid="{D70AA743-43AA-4E92-8549-56209B1A7CAB}"/>
    <hyperlink ref="C12" location="'Equivalence calculations'!$A$41" tooltip="Section subtitle. Click once to follow" display="Illustrative treatment of right of use asset under IPP" xr:uid="{F97E1BD8-14E6-4FDD-84B9-60DA7CB4E173}"/>
    <hyperlink ref="C13" location="'Equivalence calculations'!$A$85" tooltip="Section subtitle. Click once to follow" display="Outputs" xr:uid="{34EBDF74-127D-41F4-AA23-67B3F164DB2E}"/>
  </hyperlinks>
  <pageMargins left="0.70866141732283472" right="0.70866141732283472" top="0.74803149606299213" bottom="0.74803149606299213" header="0.31496062992125984" footer="0.31496062992125984"/>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E12"/>
  <sheetViews>
    <sheetView showGridLines="0" view="pageBreakPreview" zoomScale="106" zoomScaleNormal="100" zoomScaleSheetLayoutView="106" workbookViewId="0"/>
  </sheetViews>
  <sheetFormatPr defaultRowHeight="15" customHeight="1" x14ac:dyDescent="0.25"/>
  <cols>
    <col min="1" max="1" width="2.7109375" customWidth="1"/>
    <col min="2" max="2" width="23.28515625" customWidth="1"/>
    <col min="3" max="3" width="100.7109375" customWidth="1"/>
    <col min="4" max="4" width="34.28515625" customWidth="1"/>
    <col min="5" max="5" width="61.140625" customWidth="1"/>
    <col min="6" max="6" width="9.140625" customWidth="1"/>
  </cols>
  <sheetData>
    <row r="1" spans="1:5" ht="26.25" x14ac:dyDescent="0.4">
      <c r="A1" s="7" t="s">
        <v>133</v>
      </c>
      <c r="B1" s="2"/>
      <c r="C1" s="2"/>
      <c r="D1" s="2"/>
      <c r="E1" s="2"/>
    </row>
    <row r="2" spans="1:5" x14ac:dyDescent="0.25">
      <c r="A2" s="2"/>
      <c r="B2" s="2"/>
      <c r="C2" s="2"/>
      <c r="D2" s="2"/>
      <c r="E2" s="2"/>
    </row>
    <row r="3" spans="1:5" ht="23.25" x14ac:dyDescent="0.35">
      <c r="A3" s="2"/>
      <c r="B3" s="6" t="s">
        <v>53</v>
      </c>
      <c r="C3" s="2"/>
      <c r="D3" s="2"/>
      <c r="E3" s="2"/>
    </row>
    <row r="4" spans="1:5" ht="182.25" customHeight="1" x14ac:dyDescent="0.25">
      <c r="A4" s="2"/>
      <c r="B4" s="143" t="s">
        <v>134</v>
      </c>
      <c r="C4" s="144"/>
      <c r="D4" s="144"/>
      <c r="E4" s="144"/>
    </row>
    <row r="5" spans="1:5" ht="23.25" x14ac:dyDescent="0.35">
      <c r="A5" s="2"/>
      <c r="B5" s="6" t="s">
        <v>52</v>
      </c>
      <c r="C5" s="2"/>
      <c r="D5" s="2"/>
      <c r="E5" s="2"/>
    </row>
    <row r="6" spans="1:5" x14ac:dyDescent="0.25">
      <c r="A6" s="2"/>
      <c r="B6" s="140" t="s">
        <v>127</v>
      </c>
      <c r="C6" s="141"/>
      <c r="D6" s="141"/>
      <c r="E6" s="141"/>
    </row>
    <row r="7" spans="1:5" ht="219" customHeight="1" x14ac:dyDescent="0.25">
      <c r="A7" s="2"/>
      <c r="B7" s="141"/>
      <c r="C7" s="141"/>
      <c r="D7" s="141"/>
      <c r="E7" s="141"/>
    </row>
    <row r="8" spans="1:5" ht="23.25" x14ac:dyDescent="0.35">
      <c r="A8" s="2"/>
      <c r="B8" s="6" t="s">
        <v>76</v>
      </c>
      <c r="C8" s="8"/>
      <c r="D8" s="9"/>
      <c r="E8" s="10"/>
    </row>
    <row r="9" spans="1:5" ht="104.25" customHeight="1" x14ac:dyDescent="0.25">
      <c r="A9" s="2"/>
      <c r="B9" s="143" t="s">
        <v>116</v>
      </c>
      <c r="C9" s="144"/>
      <c r="D9" s="144"/>
      <c r="E9" s="144"/>
    </row>
    <row r="10" spans="1:5" ht="23.25" x14ac:dyDescent="0.35">
      <c r="A10" s="2"/>
      <c r="B10" s="6" t="s">
        <v>77</v>
      </c>
      <c r="C10" s="8"/>
      <c r="D10" s="9"/>
      <c r="E10" s="10"/>
    </row>
    <row r="11" spans="1:5" ht="111.75" customHeight="1" x14ac:dyDescent="0.25">
      <c r="A11" s="2"/>
      <c r="B11" s="142" t="s">
        <v>117</v>
      </c>
      <c r="C11" s="142"/>
      <c r="D11" s="142"/>
      <c r="E11" s="142"/>
    </row>
    <row r="12" spans="1:5" x14ac:dyDescent="0.25">
      <c r="A12" s="2"/>
      <c r="B12" s="8"/>
      <c r="C12" s="8"/>
      <c r="D12" s="9"/>
      <c r="E12" s="10" t="str">
        <f t="shared" ref="E12" si="0">IF(ISNUMBER(D12),HYPERLINK("http://mercury/auto.nrl?docnum="&amp;D12&amp;"&amp;ver=0", D12),"")</f>
        <v/>
      </c>
    </row>
  </sheetData>
  <sheetProtection formatColumns="0" formatRows="0"/>
  <mergeCells count="4">
    <mergeCell ref="B6:E7"/>
    <mergeCell ref="B11:E11"/>
    <mergeCell ref="B4:E4"/>
    <mergeCell ref="B9:E9"/>
  </mergeCells>
  <pageMargins left="0.70866141732283472" right="0.70866141732283472" top="0.74803149606299213" bottom="0.74803149606299213" header="0.31496062992125984" footer="0.31496062992125984"/>
  <pageSetup paperSize="9" scale="58"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2" tint="0.39997558519241921"/>
    <pageSetUpPr fitToPage="1"/>
  </sheetPr>
  <dimension ref="A1:AJ93"/>
  <sheetViews>
    <sheetView showGridLines="0" view="pageBreakPreview" zoomScaleNormal="87" zoomScaleSheetLayoutView="100" workbookViewId="0"/>
  </sheetViews>
  <sheetFormatPr defaultRowHeight="15" customHeight="1" x14ac:dyDescent="0.25"/>
  <cols>
    <col min="1" max="1" width="52.5703125" customWidth="1"/>
    <col min="2" max="2" width="38.42578125" customWidth="1"/>
    <col min="3" max="3" width="21.140625" customWidth="1"/>
    <col min="4" max="4" width="14.42578125" customWidth="1"/>
    <col min="5" max="5" width="16.140625" customWidth="1"/>
    <col min="6" max="6" width="14.85546875" customWidth="1"/>
    <col min="7" max="7" width="12.7109375" customWidth="1"/>
    <col min="8" max="8" width="14" customWidth="1"/>
    <col min="9" max="9" width="12.7109375" customWidth="1"/>
    <col min="10" max="10" width="13" customWidth="1"/>
    <col min="11" max="14" width="12.7109375" customWidth="1"/>
    <col min="15" max="15" width="14.7109375" customWidth="1"/>
    <col min="16" max="20" width="13.7109375" customWidth="1"/>
    <col min="21" max="21" width="12.140625" customWidth="1"/>
    <col min="22" max="22" width="4" customWidth="1"/>
    <col min="23" max="23" width="25.5703125" customWidth="1"/>
    <col min="39" max="39" width="10.85546875" customWidth="1"/>
  </cols>
  <sheetData>
    <row r="1" spans="1:36" ht="26.25" x14ac:dyDescent="0.4">
      <c r="A1" s="102" t="s">
        <v>63</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row>
    <row r="2" spans="1:36" ht="26.25" x14ac:dyDescent="0.4">
      <c r="A2" s="5" t="s">
        <v>0</v>
      </c>
      <c r="B2" s="26"/>
      <c r="C2" s="1"/>
      <c r="D2" s="1"/>
      <c r="E2" s="1"/>
      <c r="F2" s="1"/>
      <c r="G2" s="1"/>
      <c r="H2" s="1"/>
      <c r="I2" s="1"/>
      <c r="J2" s="1"/>
      <c r="K2" s="1"/>
      <c r="L2" s="1"/>
      <c r="M2" s="94" t="s">
        <v>50</v>
      </c>
      <c r="N2" s="95" t="s">
        <v>46</v>
      </c>
      <c r="O2" s="95" t="s">
        <v>47</v>
      </c>
      <c r="P2" s="1"/>
      <c r="Q2" s="1"/>
      <c r="R2" s="1"/>
      <c r="S2" s="1"/>
      <c r="T2" s="1"/>
      <c r="U2" s="1"/>
      <c r="V2" s="1"/>
      <c r="W2" s="1"/>
      <c r="X2" s="1"/>
      <c r="Y2" s="1"/>
      <c r="Z2" s="1"/>
      <c r="AA2" s="1"/>
      <c r="AB2" s="1"/>
      <c r="AC2" s="1"/>
      <c r="AD2" s="1"/>
      <c r="AE2" s="1"/>
      <c r="AF2" s="1"/>
      <c r="AG2" s="1"/>
      <c r="AH2" s="1"/>
      <c r="AI2" s="1"/>
      <c r="AJ2" s="1"/>
    </row>
    <row r="3" spans="1:36" ht="36" customHeight="1" x14ac:dyDescent="0.25">
      <c r="A3" s="82" t="s">
        <v>62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20.25" customHeight="1" x14ac:dyDescent="0.35">
      <c r="A4" s="64" t="s">
        <v>41</v>
      </c>
      <c r="B4" s="11"/>
      <c r="C4" s="11" t="s">
        <v>8</v>
      </c>
      <c r="D4" s="11" t="s">
        <v>2</v>
      </c>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ht="18.75" x14ac:dyDescent="0.3">
      <c r="A5" s="15" t="s">
        <v>42</v>
      </c>
      <c r="B5" s="15"/>
      <c r="C5" s="15"/>
      <c r="D5" s="15"/>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x14ac:dyDescent="0.25">
      <c r="A6" s="16" t="s">
        <v>45</v>
      </c>
      <c r="B6" s="96"/>
      <c r="C6" s="78" t="s">
        <v>47</v>
      </c>
      <c r="D6" s="80" t="s">
        <v>64</v>
      </c>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x14ac:dyDescent="0.25">
      <c r="A7" s="16" t="s">
        <v>112</v>
      </c>
      <c r="B7" s="97"/>
      <c r="C7" s="93">
        <v>2019</v>
      </c>
      <c r="D7" s="80" t="s">
        <v>110</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x14ac:dyDescent="0.25">
      <c r="A8" s="1"/>
      <c r="B8" s="1"/>
      <c r="C8" s="1"/>
      <c r="D8" s="80"/>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ht="18.75" x14ac:dyDescent="0.3">
      <c r="A9" s="15" t="s">
        <v>43</v>
      </c>
      <c r="B9" s="1"/>
      <c r="C9" s="1"/>
      <c r="D9" s="80"/>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36" x14ac:dyDescent="0.25">
      <c r="A10" s="16" t="s">
        <v>28</v>
      </c>
      <c r="B10" s="18"/>
      <c r="C10" s="18">
        <v>5000000</v>
      </c>
      <c r="D10" s="80" t="s">
        <v>48</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6" x14ac:dyDescent="0.25">
      <c r="A11" s="16" t="s">
        <v>79</v>
      </c>
      <c r="B11" s="19"/>
      <c r="C11" s="100">
        <v>10</v>
      </c>
      <c r="D11" s="80" t="s">
        <v>111</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6" t="s">
        <v>78</v>
      </c>
      <c r="B12" s="17"/>
      <c r="C12" s="17">
        <v>4.4999999999999998E-2</v>
      </c>
      <c r="D12" s="80" t="s">
        <v>80</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2" t="s">
        <v>9</v>
      </c>
      <c r="B13" s="25"/>
      <c r="C13" s="25">
        <v>0.15</v>
      </c>
      <c r="D13" s="80" t="s">
        <v>120</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1"/>
      <c r="C14" s="1"/>
      <c r="D14" s="80"/>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ht="23.25" x14ac:dyDescent="0.35">
      <c r="A15" s="64" t="s">
        <v>44</v>
      </c>
      <c r="B15" s="1"/>
      <c r="C15" s="1"/>
      <c r="D15" s="80"/>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36" x14ac:dyDescent="0.25">
      <c r="A16" s="16" t="s">
        <v>21</v>
      </c>
      <c r="B16" s="79"/>
      <c r="C16" s="79">
        <v>5.1299999999999998E-2</v>
      </c>
      <c r="D16" s="33" t="s">
        <v>122</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1:36" x14ac:dyDescent="0.25">
      <c r="A17" s="12" t="s">
        <v>4</v>
      </c>
      <c r="B17" s="71"/>
      <c r="C17" s="71">
        <v>3.61E-2</v>
      </c>
      <c r="D17" s="33" t="s">
        <v>122</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row>
    <row r="18" spans="1:36" x14ac:dyDescent="0.25">
      <c r="A18" s="12" t="s">
        <v>3</v>
      </c>
      <c r="B18" s="35"/>
      <c r="C18" s="35">
        <v>0.42</v>
      </c>
      <c r="D18" s="33" t="s">
        <v>121</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6" x14ac:dyDescent="0.25">
      <c r="A19" s="16" t="s">
        <v>12</v>
      </c>
      <c r="B19" s="35"/>
      <c r="C19" s="35">
        <v>0.28000000000000003</v>
      </c>
      <c r="D19" s="33" t="s">
        <v>27</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x14ac:dyDescent="0.25">
      <c r="A20" s="1"/>
      <c r="B20" s="1"/>
      <c r="C20" s="1"/>
      <c r="D20" s="33"/>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ht="27" customHeight="1" x14ac:dyDescent="0.4">
      <c r="A21" s="7" t="s">
        <v>1</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row>
    <row r="22" spans="1:36" ht="30" customHeight="1" x14ac:dyDescent="0.25">
      <c r="A22" s="82" t="s">
        <v>113</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ht="26.25" customHeight="1" x14ac:dyDescent="0.25">
      <c r="B23" s="1"/>
      <c r="D23" s="11" t="s">
        <v>94</v>
      </c>
      <c r="E23" s="11"/>
      <c r="F23" s="11"/>
      <c r="G23" s="11"/>
      <c r="H23" s="11"/>
      <c r="I23" s="11"/>
      <c r="J23" s="11"/>
      <c r="K23" s="11"/>
      <c r="L23" s="11"/>
      <c r="M23" s="11"/>
      <c r="N23" s="11"/>
      <c r="O23" s="11"/>
      <c r="P23" s="11"/>
      <c r="Q23" s="11"/>
      <c r="R23" s="11"/>
      <c r="S23" s="11"/>
      <c r="T23" s="11"/>
      <c r="U23" s="11"/>
      <c r="W23" s="11" t="s">
        <v>54</v>
      </c>
      <c r="X23" s="11" t="s">
        <v>2</v>
      </c>
    </row>
    <row r="24" spans="1:36" x14ac:dyDescent="0.25">
      <c r="A24" s="1"/>
      <c r="B24" s="1"/>
      <c r="C24" s="1"/>
      <c r="D24" s="11" t="s">
        <v>11</v>
      </c>
      <c r="E24" s="39"/>
      <c r="F24" s="11" t="s">
        <v>32</v>
      </c>
      <c r="G24" s="11"/>
      <c r="H24" s="11"/>
      <c r="I24" s="11"/>
      <c r="J24" s="39"/>
      <c r="K24" s="11" t="s">
        <v>33</v>
      </c>
      <c r="L24" s="11"/>
      <c r="M24" s="11"/>
      <c r="N24" s="11"/>
      <c r="O24" s="39"/>
      <c r="P24" s="84" t="s">
        <v>34</v>
      </c>
      <c r="Q24" s="84"/>
      <c r="R24" s="84"/>
      <c r="S24" s="84"/>
      <c r="T24" s="39"/>
      <c r="U24" s="84" t="s">
        <v>35</v>
      </c>
      <c r="V24" s="1"/>
      <c r="W24" s="1"/>
      <c r="X24" s="1"/>
      <c r="Y24" s="1"/>
      <c r="Z24" s="1"/>
      <c r="AA24" s="1"/>
      <c r="AB24" s="1"/>
      <c r="AC24" s="1"/>
      <c r="AD24" s="1"/>
      <c r="AE24" s="1"/>
      <c r="AF24" s="1"/>
      <c r="AG24" s="1"/>
      <c r="AH24" s="1"/>
      <c r="AI24" s="1"/>
      <c r="AJ24" s="1"/>
    </row>
    <row r="25" spans="1:36" x14ac:dyDescent="0.25">
      <c r="B25" s="1"/>
      <c r="C25" s="11" t="s">
        <v>8</v>
      </c>
      <c r="D25" s="13">
        <v>2019</v>
      </c>
      <c r="E25" s="40">
        <v>2020</v>
      </c>
      <c r="F25" s="13">
        <v>2021</v>
      </c>
      <c r="G25" s="13">
        <v>2022</v>
      </c>
      <c r="H25" s="13">
        <v>2023</v>
      </c>
      <c r="I25" s="13">
        <v>2024</v>
      </c>
      <c r="J25" s="40">
        <v>2025</v>
      </c>
      <c r="K25" s="13">
        <v>2026</v>
      </c>
      <c r="L25" s="13">
        <v>2027</v>
      </c>
      <c r="M25" s="13">
        <v>2028</v>
      </c>
      <c r="N25" s="13">
        <v>2029</v>
      </c>
      <c r="O25" s="40">
        <v>2030</v>
      </c>
      <c r="P25" s="13">
        <v>2031</v>
      </c>
      <c r="Q25" s="13">
        <v>2032</v>
      </c>
      <c r="R25" s="13">
        <v>2033</v>
      </c>
      <c r="S25" s="13">
        <v>2034</v>
      </c>
      <c r="T25" s="40">
        <v>2035</v>
      </c>
      <c r="U25" s="13">
        <v>2036</v>
      </c>
      <c r="V25" s="1"/>
      <c r="W25" s="33"/>
      <c r="X25" s="1"/>
      <c r="Y25" s="1"/>
    </row>
    <row r="26" spans="1:36" ht="23.25" x14ac:dyDescent="0.35">
      <c r="A26" s="63" t="s">
        <v>31</v>
      </c>
      <c r="B26" s="1"/>
      <c r="C26" s="11"/>
      <c r="D26" s="24"/>
      <c r="E26" s="41"/>
      <c r="F26" s="24"/>
      <c r="G26" s="24"/>
      <c r="H26" s="24"/>
      <c r="I26" s="24"/>
      <c r="J26" s="41"/>
      <c r="K26" s="24"/>
      <c r="L26" s="11"/>
      <c r="M26" s="11"/>
      <c r="N26" s="11"/>
      <c r="O26" s="92"/>
      <c r="P26" s="85"/>
      <c r="Q26" s="85"/>
      <c r="R26" s="85"/>
      <c r="S26" s="85"/>
      <c r="T26" s="92"/>
      <c r="U26" s="11"/>
      <c r="V26" s="1"/>
      <c r="W26" s="33"/>
      <c r="X26" s="1"/>
      <c r="Y26" s="1"/>
      <c r="Z26" s="1"/>
      <c r="AA26" s="1"/>
      <c r="AB26" s="1"/>
      <c r="AC26" s="1"/>
      <c r="AD26" s="1"/>
      <c r="AE26" s="1"/>
      <c r="AF26" s="1"/>
      <c r="AG26" s="1"/>
      <c r="AH26" s="1"/>
      <c r="AI26" s="1"/>
      <c r="AJ26" s="1"/>
    </row>
    <row r="27" spans="1:36" x14ac:dyDescent="0.25">
      <c r="A27" s="16" t="s">
        <v>65</v>
      </c>
      <c r="B27" s="20"/>
      <c r="C27" s="20"/>
      <c r="D27" s="21">
        <f>IF(OR(D25&lt;'Equivalence calculations'!$C$7,D$25-'Equivalence calculations'!$C$7&gt;='Equivalence calculations'!$C$11),0,'Equivalence calculations'!$C$10)</f>
        <v>5000000</v>
      </c>
      <c r="E27" s="42">
        <f>IF(OR(E25&lt;'Equivalence calculations'!$C$7,E$25-'Equivalence calculations'!$C$7&gt;='Equivalence calculations'!$C$11),0,'Equivalence calculations'!$C$10)</f>
        <v>5000000</v>
      </c>
      <c r="F27" s="21">
        <f>IF(OR(F25&lt;'Equivalence calculations'!$C$7,F$25-'Equivalence calculations'!$C$7&gt;='Equivalence calculations'!$C$11),0,'Equivalence calculations'!$C$10)</f>
        <v>5000000</v>
      </c>
      <c r="G27" s="21">
        <f>IF(OR(G25&lt;'Equivalence calculations'!$C$7,G$25-'Equivalence calculations'!$C$7&gt;='Equivalence calculations'!$C$11),0,'Equivalence calculations'!$C$10)</f>
        <v>5000000</v>
      </c>
      <c r="H27" s="21">
        <f>IF(OR(H25&lt;'Equivalence calculations'!$C$7,H$25-'Equivalence calculations'!$C$7&gt;='Equivalence calculations'!$C$11),0,'Equivalence calculations'!$C$10)</f>
        <v>5000000</v>
      </c>
      <c r="I27" s="21">
        <f>IF(OR(I25&lt;'Equivalence calculations'!$C$7,I$25-'Equivalence calculations'!$C$7&gt;='Equivalence calculations'!$C$11),0,'Equivalence calculations'!$C$10)</f>
        <v>5000000</v>
      </c>
      <c r="J27" s="42">
        <f>IF(OR(J25&lt;'Equivalence calculations'!$C$7,J$25-'Equivalence calculations'!$C$7&gt;='Equivalence calculations'!$C$11),0,'Equivalence calculations'!$C$10)</f>
        <v>5000000</v>
      </c>
      <c r="K27" s="21">
        <f>IF(OR(K25&lt;'Equivalence calculations'!$C$7,K$25-'Equivalence calculations'!$C$7&gt;='Equivalence calculations'!$C$11),0,'Equivalence calculations'!$C$10)</f>
        <v>5000000</v>
      </c>
      <c r="L27" s="21">
        <f>IF(OR(L25&lt;'Equivalence calculations'!$C$7,L$25-'Equivalence calculations'!$C$7&gt;='Equivalence calculations'!$C$11),0,'Equivalence calculations'!$C$10)</f>
        <v>5000000</v>
      </c>
      <c r="M27" s="21">
        <f>IF(OR(M25&lt;'Equivalence calculations'!$C$7,M$25-'Equivalence calculations'!$C$7&gt;='Equivalence calculations'!$C$11),0,'Equivalence calculations'!$C$10)</f>
        <v>5000000</v>
      </c>
      <c r="N27" s="21">
        <f>IF(OR(N25&lt;'Equivalence calculations'!$C$7,N$25-'Equivalence calculations'!$C$7&gt;='Equivalence calculations'!$C$11),0,'Equivalence calculations'!$C$10)</f>
        <v>0</v>
      </c>
      <c r="O27" s="42">
        <f>IF(OR(O25&lt;'Equivalence calculations'!$C$7,O$25-'Equivalence calculations'!$C$7&gt;='Equivalence calculations'!$C$11),0,'Equivalence calculations'!$C$10)</f>
        <v>0</v>
      </c>
      <c r="P27" s="21">
        <f>IF(OR(P25&lt;'Equivalence calculations'!$C$7,P$25-'Equivalence calculations'!$C$7&gt;='Equivalence calculations'!$C$11),0,'Equivalence calculations'!$C$10)</f>
        <v>0</v>
      </c>
      <c r="Q27" s="21">
        <f>IF(OR(Q25&lt;'Equivalence calculations'!$C$7,Q$25-'Equivalence calculations'!$C$7&gt;='Equivalence calculations'!$C$11),0,'Equivalence calculations'!$C$10)</f>
        <v>0</v>
      </c>
      <c r="R27" s="21">
        <f>IF(OR(R25&lt;'Equivalence calculations'!$C$7,R$25-'Equivalence calculations'!$C$7&gt;='Equivalence calculations'!$C$11),0,'Equivalence calculations'!$C$10)</f>
        <v>0</v>
      </c>
      <c r="S27" s="21">
        <f>IF(OR(S25&lt;'Equivalence calculations'!$C$7,S$25-'Equivalence calculations'!$C$7&gt;='Equivalence calculations'!$C$11),0,'Equivalence calculations'!$C$10)</f>
        <v>0</v>
      </c>
      <c r="T27" s="42">
        <f>IF(OR(T25&lt;'Equivalence calculations'!$C$7,T$25-'Equivalence calculations'!$C$7&gt;='Equivalence calculations'!$C$11),0,'Equivalence calculations'!$C$10)</f>
        <v>0</v>
      </c>
      <c r="U27" s="21">
        <f>IF(OR(U25&lt;'Equivalence calculations'!$C$7,U$25-'Equivalence calculations'!$C$7&gt;='Equivalence calculations'!$C$11),0,'Equivalence calculations'!$C$10)</f>
        <v>0</v>
      </c>
      <c r="V27" s="1"/>
      <c r="W27" s="33" t="s">
        <v>0</v>
      </c>
      <c r="X27" s="33" t="s">
        <v>83</v>
      </c>
      <c r="Y27" s="1"/>
      <c r="Z27" s="1"/>
      <c r="AA27" s="1"/>
      <c r="AB27" s="1"/>
      <c r="AC27" s="1"/>
      <c r="AD27" s="1"/>
      <c r="AE27" s="1"/>
      <c r="AF27" s="1"/>
      <c r="AG27" s="1"/>
      <c r="AH27" s="1"/>
      <c r="AI27" s="1"/>
      <c r="AJ27" s="1"/>
    </row>
    <row r="28" spans="1:36" x14ac:dyDescent="0.25">
      <c r="A28" s="16" t="s">
        <v>10</v>
      </c>
      <c r="B28" s="12"/>
      <c r="C28" s="12"/>
      <c r="D28" s="21">
        <f>D27/(1+$C$12)^(D$25-'Equivalence calculations'!$C$7+1)</f>
        <v>4784688.9952153116</v>
      </c>
      <c r="E28" s="42">
        <f>E27/(1+$C$12)^(E$25-'Equivalence calculations'!$C$7+1)</f>
        <v>4578649.7561869016</v>
      </c>
      <c r="F28" s="21">
        <f>F27/(1+$C$12)^(F$25-'Equivalence calculations'!$C$7+1)</f>
        <v>4381483.0202745469</v>
      </c>
      <c r="G28" s="21">
        <f>G27/(1+$C$12)^(G$25-'Equivalence calculations'!$C$7+1)</f>
        <v>4192806.7179660746</v>
      </c>
      <c r="H28" s="21">
        <f>H27/(1+$C$12)^(H$25-'Equivalence calculations'!$C$7+1)</f>
        <v>4012255.2325034207</v>
      </c>
      <c r="I28" s="21">
        <f>I27/(1+$C$12)^(I$25-'Equivalence calculations'!$C$7+1)</f>
        <v>3839478.6913908338</v>
      </c>
      <c r="J28" s="42">
        <f>J27/(1+$C$12)^(J$25-'Equivalence calculations'!$C$7+1)</f>
        <v>3674142.2884122808</v>
      </c>
      <c r="K28" s="21">
        <f>K27/(1+$C$12)^(K$25-'Equivalence calculations'!$C$7+1)</f>
        <v>3515925.6348442892</v>
      </c>
      <c r="L28" s="21">
        <f>L27/(1+$C$12)^(L$25-'Equivalence calculations'!$C$7+1)</f>
        <v>3364522.1386069753</v>
      </c>
      <c r="M28" s="21">
        <f>M27/(1+$C$12)^(M$25-'Equivalence calculations'!$C$7+1)</f>
        <v>3219638.4101502164</v>
      </c>
      <c r="N28" s="21">
        <f>N27/(1+$C$12)^(N$25-'Equivalence calculations'!$C$7+1)</f>
        <v>0</v>
      </c>
      <c r="O28" s="42">
        <f>O27/(1+$C$12)^(O$25-'Equivalence calculations'!$C$7+1)</f>
        <v>0</v>
      </c>
      <c r="P28" s="21">
        <f>P27/(1+$C$12)^(P$25-'Equivalence calculations'!$C$7+1)</f>
        <v>0</v>
      </c>
      <c r="Q28" s="21">
        <f>Q27/(1+$C$12)^(Q$25-'Equivalence calculations'!$C$7+1)</f>
        <v>0</v>
      </c>
      <c r="R28" s="21">
        <f>R27/(1+$C$12)^(R$25-'Equivalence calculations'!$C$7+1)</f>
        <v>0</v>
      </c>
      <c r="S28" s="21">
        <f>S27/(1+$C$12)^(S$25-'Equivalence calculations'!$C$7+1)</f>
        <v>0</v>
      </c>
      <c r="T28" s="42">
        <f>T27/(1+$C$12)^(T$25-'Equivalence calculations'!$C$7+1)</f>
        <v>0</v>
      </c>
      <c r="U28" s="21">
        <f>U27/(1+$C$12)^(U$25-'Equivalence calculations'!$C$7+1)</f>
        <v>0</v>
      </c>
      <c r="V28" s="1"/>
      <c r="W28" s="33" t="s">
        <v>25</v>
      </c>
      <c r="X28" s="33" t="s">
        <v>136</v>
      </c>
      <c r="Y28" s="1"/>
    </row>
    <row r="29" spans="1:36" x14ac:dyDescent="0.25">
      <c r="A29" s="16" t="s">
        <v>66</v>
      </c>
      <c r="B29" s="12"/>
      <c r="C29" s="12"/>
      <c r="D29" s="21">
        <f>IF(D25&lt;'Equivalence calculations'!$C$7,0,SUMIFS($D$28:$U$28,$D$25:$U$25,"&gt;="&amp;D$25,$D$25:$U$25,"&lt;"&amp;($C$7+$C$11)))</f>
        <v>39563590.885550849</v>
      </c>
      <c r="E29" s="42">
        <f>IF(E25&lt;'Equivalence calculations'!$C$7,0,SUMIFS($D$28:$U$28,$D$25:$U$25,"&gt;="&amp;E$25,$D$25:$U$25,"&lt;"&amp;($C$7+$C$11)))</f>
        <v>34778901.890335537</v>
      </c>
      <c r="F29" s="21">
        <f>IF(F25&lt;'Equivalence calculations'!$C$7,0,SUMIFS($D$28:$U$28,$D$25:$U$25,"&gt;="&amp;F$25,$D$25:$U$25,"&lt;"&amp;($C$7+$C$11)))</f>
        <v>30200252.134148639</v>
      </c>
      <c r="G29" s="21">
        <f>IF(G25&lt;'Equivalence calculations'!$C$7,0,SUMIFS($D$28:$U$28,$D$25:$U$25,"&gt;="&amp;G$25,$D$25:$U$25,"&lt;"&amp;($C$7+$C$11)))</f>
        <v>25818769.113874089</v>
      </c>
      <c r="H29" s="21">
        <f>IF(H25&lt;'Equivalence calculations'!$C$7,0,SUMIFS($D$28:$U$28,$D$25:$U$25,"&gt;="&amp;H$25,$D$25:$U$25,"&lt;"&amp;($C$7+$C$11)))</f>
        <v>21625962.395908017</v>
      </c>
      <c r="I29" s="21">
        <f>IF(I25&lt;'Equivalence calculations'!$C$7,0,SUMIFS($D$28:$U$28,$D$25:$U$25,"&gt;="&amp;I$25,$D$25:$U$25,"&lt;"&amp;($C$7+$C$11)))</f>
        <v>17613707.163404595</v>
      </c>
      <c r="J29" s="42">
        <f>IF(J25&lt;'Equivalence calculations'!$C$7,0,SUMIFS($D$28:$U$28,$D$25:$U$25,"&gt;="&amp;J$25,$D$25:$U$25,"&lt;"&amp;($C$7+$C$11)))</f>
        <v>13774228.472013762</v>
      </c>
      <c r="K29" s="21">
        <f>IF(K25&lt;'Equivalence calculations'!$C$7,0,SUMIFS($D$28:$U$28,$D$25:$U$25,"&gt;="&amp;K$25,$D$25:$U$25,"&lt;"&amp;($C$7+$C$11)))</f>
        <v>10100086.183601482</v>
      </c>
      <c r="L29" s="21">
        <f>IF(L25&lt;'Equivalence calculations'!$C$7,0,SUMIFS($D$28:$U$28,$D$25:$U$25,"&gt;="&amp;L$25,$D$25:$U$25,"&lt;"&amp;($C$7+$C$11)))</f>
        <v>6584160.5487571917</v>
      </c>
      <c r="M29" s="21">
        <f>IF(M25&lt;'Equivalence calculations'!$C$7,0,SUMIFS($D$28:$U$28,$D$25:$U$25,"&gt;="&amp;M$25,$D$25:$U$25,"&lt;"&amp;($C$7+$C$11)))</f>
        <v>3219638.4101502164</v>
      </c>
      <c r="N29" s="21">
        <f>IF(N25&lt;'Equivalence calculations'!$C$7,0,SUMIFS($D$28:$U$28,$D$25:$U$25,"&gt;="&amp;N$25,$D$25:$U$25,"&lt;"&amp;($C$7+$C$11)))</f>
        <v>0</v>
      </c>
      <c r="O29" s="42">
        <f>IF(O25&lt;'Equivalence calculations'!$C$7,0,SUMIFS($D$28:$U$28,$D$25:$U$25,"&gt;="&amp;O$25,$D$25:$U$25,"&lt;"&amp;($C$7+$C$11)))</f>
        <v>0</v>
      </c>
      <c r="P29" s="21">
        <f>IF(P25&lt;'Equivalence calculations'!$C$7,0,SUMIFS($D$28:$U$28,$D$25:$U$25,"&gt;="&amp;P$25,$D$25:$U$25,"&lt;"&amp;($C$7+$C$11)))</f>
        <v>0</v>
      </c>
      <c r="Q29" s="21">
        <f>IF(Q25&lt;'Equivalence calculations'!$C$7,0,SUMIFS($D$28:$U$28,$D$25:$U$25,"&gt;="&amp;Q$25,$D$25:$U$25,"&lt;"&amp;($C$7+$C$11)))</f>
        <v>0</v>
      </c>
      <c r="R29" s="21">
        <f>IF(R25&lt;'Equivalence calculations'!$C$7,0,SUMIFS($D$28:$U$28,$D$25:$U$25,"&gt;="&amp;R$25,$D$25:$U$25,"&lt;"&amp;($C$7+$C$11)))</f>
        <v>0</v>
      </c>
      <c r="S29" s="21">
        <f>IF(S25&lt;'Equivalence calculations'!$C$7,0,SUMIFS($D$28:$U$28,$D$25:$U$25,"&gt;="&amp;S$25,$D$25:$U$25,"&lt;"&amp;($C$7+$C$11)))</f>
        <v>0</v>
      </c>
      <c r="T29" s="42">
        <f>IF(T25&lt;'Equivalence calculations'!$C$7,0,SUMIFS($D$28:$U$28,$D$25:$U$25,"&gt;="&amp;T$25,$D$25:$U$25,"&lt;"&amp;($C$7+$C$11)))</f>
        <v>0</v>
      </c>
      <c r="U29" s="21">
        <f>IF(U25&lt;'Equivalence calculations'!$C$7,0,SUMIFS($D$28:$U$28,$D$25:$U$25,"&gt;="&amp;U$25,$D$25:$U$25,"&lt;"&amp;($C$7+$C$11)))</f>
        <v>0</v>
      </c>
      <c r="V29" s="1"/>
      <c r="W29" s="33" t="s">
        <v>25</v>
      </c>
      <c r="X29" s="33" t="s">
        <v>84</v>
      </c>
      <c r="Y29" s="1"/>
      <c r="Z29" s="1"/>
      <c r="AA29" s="1"/>
      <c r="AB29" s="1"/>
      <c r="AC29" s="1"/>
      <c r="AD29" s="1"/>
      <c r="AE29" s="1"/>
      <c r="AF29" s="1"/>
      <c r="AG29" s="1"/>
      <c r="AH29" s="1"/>
      <c r="AI29" s="1"/>
      <c r="AJ29" s="1"/>
    </row>
    <row r="30" spans="1:36" ht="30" customHeight="1" x14ac:dyDescent="0.25">
      <c r="A30" s="145" t="str">
        <f>CONCATENATE("Right of use asset value: NPV of operating lease as at 1 July ",C7-1," using cost of debt (as per NZ IFRS 16)")</f>
        <v>Right of use asset value: NPV of operating lease as at 1 July 2018 using cost of debt (as per NZ IFRS 16)</v>
      </c>
      <c r="B30" s="145"/>
      <c r="C30" s="14">
        <f>SUM($D$28:$U$28)</f>
        <v>39563590.885550849</v>
      </c>
      <c r="E30" s="43"/>
      <c r="J30" s="43"/>
      <c r="N30" s="1"/>
      <c r="O30" s="43"/>
      <c r="P30" s="1"/>
      <c r="Q30" s="1"/>
      <c r="R30" s="1"/>
      <c r="S30" s="1"/>
      <c r="T30" s="43"/>
      <c r="U30" s="1"/>
      <c r="V30" s="1"/>
      <c r="W30" s="33" t="s">
        <v>25</v>
      </c>
      <c r="X30" s="105" t="str">
        <f>CONCATENATE("Value of right of use asset at date of capitalisation, assuming lease commences or transitions on 1 July",$C$7-1)</f>
        <v>Value of right of use asset at date of capitalisation, assuming lease commences or transitions on 1 July2018</v>
      </c>
      <c r="Y30" s="1"/>
    </row>
    <row r="31" spans="1:36" x14ac:dyDescent="0.25">
      <c r="A31" s="104"/>
      <c r="B31" s="104"/>
      <c r="C31" s="14"/>
      <c r="D31" s="1"/>
      <c r="E31" s="43"/>
      <c r="F31" s="1"/>
      <c r="G31" s="1"/>
      <c r="H31" s="1"/>
      <c r="I31" s="1"/>
      <c r="J31" s="43"/>
      <c r="K31" s="1"/>
      <c r="L31" s="1"/>
      <c r="M31" s="1"/>
      <c r="N31" s="1"/>
      <c r="O31" s="43"/>
      <c r="P31" s="1"/>
      <c r="Q31" s="1"/>
      <c r="R31" s="1"/>
      <c r="S31" s="1"/>
      <c r="T31" s="43"/>
      <c r="U31" s="1"/>
      <c r="V31" s="1"/>
      <c r="W31" s="33"/>
      <c r="X31" s="34"/>
      <c r="Y31" s="1"/>
      <c r="Z31" s="1"/>
      <c r="AA31" s="1"/>
      <c r="AB31" s="1"/>
      <c r="AC31" s="1"/>
      <c r="AD31" s="1"/>
      <c r="AE31" s="1"/>
      <c r="AF31" s="1"/>
      <c r="AG31" s="1"/>
      <c r="AH31" s="1"/>
      <c r="AI31" s="1"/>
      <c r="AJ31" s="1"/>
    </row>
    <row r="32" spans="1:36" x14ac:dyDescent="0.25">
      <c r="A32" s="16" t="s">
        <v>67</v>
      </c>
      <c r="B32" s="14"/>
      <c r="C32" s="14">
        <f>NPV($C$16,$F$27:$U$27)</f>
        <v>32146917.528188027</v>
      </c>
      <c r="D32" s="1"/>
      <c r="E32" s="43"/>
      <c r="F32" s="1"/>
      <c r="G32" s="1"/>
      <c r="H32" s="1"/>
      <c r="I32" s="1"/>
      <c r="J32" s="43"/>
      <c r="K32" s="1"/>
      <c r="L32" s="1"/>
      <c r="M32" s="1"/>
      <c r="N32" s="1"/>
      <c r="O32" s="43"/>
      <c r="P32" s="1"/>
      <c r="Q32" s="1"/>
      <c r="R32" s="1"/>
      <c r="S32" s="1"/>
      <c r="T32" s="43"/>
      <c r="U32" s="1"/>
      <c r="V32" s="1"/>
      <c r="W32" s="33"/>
      <c r="X32" s="34" t="s">
        <v>103</v>
      </c>
      <c r="Y32" s="1"/>
      <c r="Z32" s="1"/>
      <c r="AA32" s="1"/>
      <c r="AB32" s="1"/>
      <c r="AC32" s="1"/>
      <c r="AD32" s="1"/>
      <c r="AE32" s="1"/>
      <c r="AF32" s="1"/>
      <c r="AG32" s="1"/>
      <c r="AH32" s="1"/>
      <c r="AI32" s="1"/>
      <c r="AJ32" s="1"/>
    </row>
    <row r="33" spans="1:36" x14ac:dyDescent="0.25">
      <c r="A33" s="1"/>
      <c r="B33" s="1"/>
      <c r="C33" s="1"/>
      <c r="D33" s="1"/>
      <c r="E33" s="43"/>
      <c r="F33" s="1"/>
      <c r="G33" s="1"/>
      <c r="H33" s="1"/>
      <c r="I33" s="1"/>
      <c r="J33" s="43"/>
      <c r="K33" s="1"/>
      <c r="L33" s="1"/>
      <c r="M33" s="1"/>
      <c r="N33" s="1"/>
      <c r="O33" s="43"/>
      <c r="P33" s="1"/>
      <c r="Q33" s="1"/>
      <c r="R33" s="1"/>
      <c r="S33" s="1"/>
      <c r="T33" s="43"/>
      <c r="U33" s="1"/>
      <c r="V33" s="1"/>
      <c r="W33" s="33"/>
      <c r="X33" s="1"/>
      <c r="Y33" s="1"/>
      <c r="Z33" s="1"/>
      <c r="AA33" s="1"/>
      <c r="AB33" s="1"/>
      <c r="AC33" s="1"/>
      <c r="AD33" s="1"/>
      <c r="AE33" s="1"/>
      <c r="AF33" s="1"/>
      <c r="AG33" s="1"/>
      <c r="AH33" s="1"/>
      <c r="AI33" s="1"/>
      <c r="AJ33" s="1"/>
    </row>
    <row r="34" spans="1:36" ht="23.25" x14ac:dyDescent="0.35">
      <c r="A34" s="64" t="s">
        <v>49</v>
      </c>
      <c r="B34" s="1"/>
      <c r="C34" s="1"/>
      <c r="D34" s="1"/>
      <c r="E34" s="43"/>
      <c r="F34" s="1"/>
      <c r="G34" s="1"/>
      <c r="H34" s="1"/>
      <c r="I34" s="1"/>
      <c r="J34" s="43"/>
      <c r="K34" s="1"/>
      <c r="L34" s="1"/>
      <c r="M34" s="1"/>
      <c r="N34" s="1"/>
      <c r="O34" s="43"/>
      <c r="P34" s="1"/>
      <c r="Q34" s="1"/>
      <c r="R34" s="1"/>
      <c r="S34" s="1"/>
      <c r="T34" s="43"/>
      <c r="U34" s="1"/>
      <c r="V34" s="1"/>
      <c r="W34" s="33"/>
      <c r="X34" s="1"/>
      <c r="Y34" s="1"/>
      <c r="Z34" s="1"/>
      <c r="AA34" s="1"/>
      <c r="AB34" s="1"/>
      <c r="AC34" s="1"/>
      <c r="AD34" s="1"/>
      <c r="AE34" s="1"/>
      <c r="AF34" s="1"/>
      <c r="AG34" s="1"/>
      <c r="AH34" s="1"/>
      <c r="AI34" s="1"/>
      <c r="AJ34" s="1"/>
    </row>
    <row r="35" spans="1:36" ht="18.75" x14ac:dyDescent="0.3">
      <c r="A35" s="15" t="s">
        <v>19</v>
      </c>
      <c r="B35" s="1"/>
      <c r="C35" s="1"/>
      <c r="D35" s="1"/>
      <c r="E35" s="43"/>
      <c r="F35" s="1"/>
      <c r="G35" s="1"/>
      <c r="H35" s="1"/>
      <c r="I35" s="1"/>
      <c r="J35" s="43"/>
      <c r="K35" s="1"/>
      <c r="L35" s="1"/>
      <c r="M35" s="1"/>
      <c r="N35" s="1"/>
      <c r="O35" s="43"/>
      <c r="P35" s="1"/>
      <c r="Q35" s="1"/>
      <c r="R35" s="1"/>
      <c r="S35" s="1"/>
      <c r="T35" s="43"/>
      <c r="U35" s="1"/>
      <c r="V35" s="1"/>
      <c r="W35" s="33"/>
      <c r="X35" s="1"/>
      <c r="Y35" s="1"/>
      <c r="Z35" s="1"/>
      <c r="AA35" s="1"/>
      <c r="AB35" s="1"/>
      <c r="AC35" s="1"/>
      <c r="AD35" s="1"/>
      <c r="AE35" s="1"/>
      <c r="AF35" s="1"/>
      <c r="AG35" s="1"/>
      <c r="AH35" s="1"/>
      <c r="AI35" s="1"/>
      <c r="AJ35" s="1"/>
    </row>
    <row r="36" spans="1:36" x14ac:dyDescent="0.25">
      <c r="A36" s="16" t="s">
        <v>114</v>
      </c>
      <c r="B36" s="22"/>
      <c r="C36" s="22"/>
      <c r="D36" s="21">
        <f>MAX(IF(D$25='Equivalence calculations'!$C$7,'Equivalence calculations'!$C$11,C36-1),0)</f>
        <v>10</v>
      </c>
      <c r="E36" s="42">
        <f>MAX(IF(E$25='Equivalence calculations'!$C$7,'Equivalence calculations'!$C$11,D36-1),0)</f>
        <v>9</v>
      </c>
      <c r="F36" s="21">
        <f>MAX(IF(F$25='Equivalence calculations'!$C$7,'Equivalence calculations'!$C$11,E36-1),0)</f>
        <v>8</v>
      </c>
      <c r="G36" s="21">
        <f>MAX(IF(G$25='Equivalence calculations'!$C$7,'Equivalence calculations'!$C$11,F36-1),0)</f>
        <v>7</v>
      </c>
      <c r="H36" s="21">
        <f>MAX(IF(H$25='Equivalence calculations'!$C$7,'Equivalence calculations'!$C$11,G36-1),0)</f>
        <v>6</v>
      </c>
      <c r="I36" s="21">
        <f>MAX(IF(I$25='Equivalence calculations'!$C$7,'Equivalence calculations'!$C$11,H36-1),0)</f>
        <v>5</v>
      </c>
      <c r="J36" s="42">
        <f>MAX(IF(J$25='Equivalence calculations'!$C$7,'Equivalence calculations'!$C$11,I36-1),0)</f>
        <v>4</v>
      </c>
      <c r="K36" s="21">
        <f>MAX(IF(K$25='Equivalence calculations'!$C$7,'Equivalence calculations'!$C$11,J36-1),0)</f>
        <v>3</v>
      </c>
      <c r="L36" s="21">
        <f>MAX(IF(L$25='Equivalence calculations'!$C$7,'Equivalence calculations'!$C$11,K36-1),0)</f>
        <v>2</v>
      </c>
      <c r="M36" s="21">
        <f>MAX(IF(M$25='Equivalence calculations'!$C$7,'Equivalence calculations'!$C$11,L36-1),0)</f>
        <v>1</v>
      </c>
      <c r="N36" s="21">
        <f>MAX(IF(N$25='Equivalence calculations'!$C$7,'Equivalence calculations'!$C$11,M36-1),0)</f>
        <v>0</v>
      </c>
      <c r="O36" s="42">
        <f>MAX(IF(O$25='Equivalence calculations'!$C$7,'Equivalence calculations'!$C$11,N36-1),0)</f>
        <v>0</v>
      </c>
      <c r="P36" s="21">
        <f>MAX(IF(P$25='Equivalence calculations'!$C$7,'Equivalence calculations'!$C$11,O36-1),0)</f>
        <v>0</v>
      </c>
      <c r="Q36" s="21">
        <f>MAX(IF(Q$25='Equivalence calculations'!$C$7,'Equivalence calculations'!$C$11,P36-1),0)</f>
        <v>0</v>
      </c>
      <c r="R36" s="21">
        <f>MAX(IF(R$25='Equivalence calculations'!$C$7,'Equivalence calculations'!$C$11,Q36-1),0)</f>
        <v>0</v>
      </c>
      <c r="S36" s="21">
        <f>MAX(IF(S$25='Equivalence calculations'!$C$7,'Equivalence calculations'!$C$11,R36-1),0)</f>
        <v>0</v>
      </c>
      <c r="T36" s="42">
        <f>MAX(IF(T$25='Equivalence calculations'!$C$7,'Equivalence calculations'!$C$11,S36-1),0)</f>
        <v>0</v>
      </c>
      <c r="U36" s="21">
        <f>MAX(IF(U$25='Equivalence calculations'!$C$7,'Equivalence calculations'!$C$11,T36-1),0)</f>
        <v>0</v>
      </c>
      <c r="V36" s="1"/>
      <c r="W36" s="33" t="s">
        <v>26</v>
      </c>
      <c r="X36" s="34" t="s">
        <v>81</v>
      </c>
      <c r="Y36" s="1"/>
      <c r="Z36" s="1"/>
      <c r="AA36" s="1"/>
      <c r="AB36" s="1"/>
      <c r="AC36" s="1"/>
      <c r="AD36" s="1"/>
      <c r="AE36" s="1"/>
      <c r="AF36" s="1"/>
      <c r="AG36" s="1"/>
      <c r="AH36" s="1"/>
      <c r="AI36" s="1"/>
      <c r="AJ36" s="1"/>
    </row>
    <row r="37" spans="1:36" x14ac:dyDescent="0.25">
      <c r="A37" s="16" t="s">
        <v>68</v>
      </c>
      <c r="B37" s="12"/>
      <c r="C37" s="12"/>
      <c r="D37" s="21">
        <f>IF(D$25='Equivalence calculations'!$C$7,'Equivalence calculations'!$C$30,C39)</f>
        <v>39563590.885550849</v>
      </c>
      <c r="E37" s="42">
        <f>IF(E$25='Equivalence calculations'!$C$7,'Equivalence calculations'!$C$30,D39)</f>
        <v>35607231.796995766</v>
      </c>
      <c r="F37" s="21">
        <f>IF(F$25='Equivalence calculations'!$C$7,'Equivalence calculations'!$C$30,E39)</f>
        <v>31650872.70844068</v>
      </c>
      <c r="G37" s="21">
        <f>IF(G$25='Equivalence calculations'!$C$7,'Equivalence calculations'!$C$30,F39)</f>
        <v>27694513.619885594</v>
      </c>
      <c r="H37" s="21">
        <f>IF(H$25='Equivalence calculations'!$C$7,'Equivalence calculations'!$C$30,G39)</f>
        <v>23738154.531330507</v>
      </c>
      <c r="I37" s="21">
        <f>IF(I$25='Equivalence calculations'!$C$7,'Equivalence calculations'!$C$30,H39)</f>
        <v>19781795.442775421</v>
      </c>
      <c r="J37" s="42">
        <f>IF(J$25='Equivalence calculations'!$C$7,'Equivalence calculations'!$C$30,I39)</f>
        <v>15825436.354220336</v>
      </c>
      <c r="K37" s="21">
        <f>IF(K$25='Equivalence calculations'!$C$7,'Equivalence calculations'!$C$30,J39)</f>
        <v>11869077.265665252</v>
      </c>
      <c r="L37" s="21">
        <f>IF(L$25='Equivalence calculations'!$C$7,'Equivalence calculations'!$C$30,K39)</f>
        <v>7912718.1771101672</v>
      </c>
      <c r="M37" s="21">
        <f>IF(M$25='Equivalence calculations'!$C$7,'Equivalence calculations'!$C$30,L39)</f>
        <v>3956359.0885550836</v>
      </c>
      <c r="N37" s="21">
        <f>IF(N$25='Equivalence calculations'!$C$7,'Equivalence calculations'!$C$30,M39)</f>
        <v>0</v>
      </c>
      <c r="O37" s="42">
        <f>IF(O$25='Equivalence calculations'!$C$7,'Equivalence calculations'!$C$30,N39)</f>
        <v>0</v>
      </c>
      <c r="P37" s="21">
        <f>IF(P$25='Equivalence calculations'!$C$7,'Equivalence calculations'!$C$30,O39)</f>
        <v>0</v>
      </c>
      <c r="Q37" s="21">
        <f>IF(Q$25='Equivalence calculations'!$C$7,'Equivalence calculations'!$C$30,P39)</f>
        <v>0</v>
      </c>
      <c r="R37" s="21">
        <f>IF(R$25='Equivalence calculations'!$C$7,'Equivalence calculations'!$C$30,Q39)</f>
        <v>0</v>
      </c>
      <c r="S37" s="21">
        <f>IF(S$25='Equivalence calculations'!$C$7,'Equivalence calculations'!$C$30,R39)</f>
        <v>0</v>
      </c>
      <c r="T37" s="42">
        <f>IF(T$25='Equivalence calculations'!$C$7,'Equivalence calculations'!$C$30,S39)</f>
        <v>0</v>
      </c>
      <c r="U37" s="21">
        <f>IF(U$25='Equivalence calculations'!$C$7,'Equivalence calculations'!$C$30,T39)</f>
        <v>0</v>
      </c>
      <c r="V37" s="1"/>
      <c r="W37" s="33" t="s">
        <v>26</v>
      </c>
      <c r="X37" s="34" t="s">
        <v>82</v>
      </c>
      <c r="Y37" s="1"/>
      <c r="Z37" s="1"/>
      <c r="AA37" s="1"/>
      <c r="AB37" s="1"/>
      <c r="AC37" s="1"/>
      <c r="AD37" s="1"/>
      <c r="AE37" s="1"/>
      <c r="AF37" s="1"/>
      <c r="AG37" s="1"/>
      <c r="AH37" s="1"/>
      <c r="AI37" s="1"/>
      <c r="AJ37" s="1"/>
    </row>
    <row r="38" spans="1:36" x14ac:dyDescent="0.25">
      <c r="A38" s="16" t="s">
        <v>69</v>
      </c>
      <c r="B38" s="12"/>
      <c r="C38" s="12"/>
      <c r="D38" s="21">
        <f>IF(D$25&lt;'Equivalence calculations'!$C$7,0,IFERROR(D37/D36,0))</f>
        <v>3956359.088555085</v>
      </c>
      <c r="E38" s="42">
        <f>IF(E$25&lt;'Equivalence calculations'!$C$7,0,IFERROR(E37/E36,0))</f>
        <v>3956359.088555085</v>
      </c>
      <c r="F38" s="21">
        <f>IF(F$25&lt;'Equivalence calculations'!$C$7,0,IFERROR(F37/F36,0))</f>
        <v>3956359.088555085</v>
      </c>
      <c r="G38" s="21">
        <f>IF(G$25&lt;'Equivalence calculations'!$C$7,0,IFERROR(G37/G36,0))</f>
        <v>3956359.088555085</v>
      </c>
      <c r="H38" s="21">
        <f>IF(H$25&lt;'Equivalence calculations'!$C$7,0,IFERROR(H37/H36,0))</f>
        <v>3956359.0885550845</v>
      </c>
      <c r="I38" s="21">
        <f>IF(I$25&lt;'Equivalence calculations'!$C$7,0,IFERROR(I37/I36,0))</f>
        <v>3956359.0885550841</v>
      </c>
      <c r="J38" s="42">
        <f>IF(J$25&lt;'Equivalence calculations'!$C$7,0,IFERROR(J37/J36,0))</f>
        <v>3956359.0885550841</v>
      </c>
      <c r="K38" s="21">
        <f>IF(K$25&lt;'Equivalence calculations'!$C$7,0,IFERROR(K37/K36,0))</f>
        <v>3956359.0885550841</v>
      </c>
      <c r="L38" s="21">
        <f>IF(L$25&lt;'Equivalence calculations'!$C$7,0,IFERROR(L37/L36,0))</f>
        <v>3956359.0885550836</v>
      </c>
      <c r="M38" s="21">
        <f>IF(M$25&lt;'Equivalence calculations'!$C$7,0,IFERROR(M37/M36,0))</f>
        <v>3956359.0885550836</v>
      </c>
      <c r="N38" s="21">
        <f>IF(N$25&lt;'Equivalence calculations'!$C$7,0,IFERROR(N37/N36,0))</f>
        <v>0</v>
      </c>
      <c r="O38" s="42">
        <f>IF(O$25&lt;'Equivalence calculations'!$C$7,0,IFERROR(O37/O36,0))</f>
        <v>0</v>
      </c>
      <c r="P38" s="21">
        <f>IF(P$25&lt;'Equivalence calculations'!$C$7,0,IFERROR(P37/P36,0))</f>
        <v>0</v>
      </c>
      <c r="Q38" s="21">
        <f>IF(Q$25&lt;'Equivalence calculations'!$C$7,0,IFERROR(Q37/Q36,0))</f>
        <v>0</v>
      </c>
      <c r="R38" s="21">
        <f>IF(R$25&lt;'Equivalence calculations'!$C$7,0,IFERROR(R37/R36,0))</f>
        <v>0</v>
      </c>
      <c r="S38" s="21">
        <f>IF(S$25&lt;'Equivalence calculations'!$C$7,0,IFERROR(S37/S36,0))</f>
        <v>0</v>
      </c>
      <c r="T38" s="42">
        <f>IF(T$25&lt;'Equivalence calculations'!$C$7,0,IFERROR(T37/T36,0))</f>
        <v>0</v>
      </c>
      <c r="U38" s="21">
        <f>IF(U$25&lt;'Equivalence calculations'!$C$7,0,IFERROR(U37/U36,0))</f>
        <v>0</v>
      </c>
      <c r="V38" s="1"/>
      <c r="W38" s="33" t="s">
        <v>26</v>
      </c>
      <c r="X38" s="34" t="s">
        <v>82</v>
      </c>
      <c r="Y38" s="1"/>
      <c r="Z38" s="1"/>
      <c r="AA38" s="1"/>
      <c r="AB38" s="1"/>
      <c r="AC38" s="1"/>
      <c r="AD38" s="1"/>
      <c r="AE38" s="1"/>
      <c r="AF38" s="1"/>
      <c r="AG38" s="1"/>
      <c r="AH38" s="1"/>
      <c r="AI38" s="1"/>
      <c r="AJ38" s="1"/>
    </row>
    <row r="39" spans="1:36" x14ac:dyDescent="0.25">
      <c r="A39" s="16" t="s">
        <v>70</v>
      </c>
      <c r="B39" s="12"/>
      <c r="C39" s="12"/>
      <c r="D39" s="21">
        <f t="shared" ref="D39:N39" si="0">D37-D38</f>
        <v>35607231.796995766</v>
      </c>
      <c r="E39" s="42">
        <f t="shared" si="0"/>
        <v>31650872.70844068</v>
      </c>
      <c r="F39" s="14">
        <f t="shared" si="0"/>
        <v>27694513.619885594</v>
      </c>
      <c r="G39" s="14">
        <f t="shared" si="0"/>
        <v>23738154.531330507</v>
      </c>
      <c r="H39" s="14">
        <f t="shared" si="0"/>
        <v>19781795.442775421</v>
      </c>
      <c r="I39" s="14">
        <f t="shared" si="0"/>
        <v>15825436.354220336</v>
      </c>
      <c r="J39" s="89">
        <f t="shared" si="0"/>
        <v>11869077.265665252</v>
      </c>
      <c r="K39" s="14">
        <f t="shared" si="0"/>
        <v>7912718.1771101672</v>
      </c>
      <c r="L39" s="14">
        <f t="shared" si="0"/>
        <v>3956359.0885550836</v>
      </c>
      <c r="M39" s="14">
        <f t="shared" si="0"/>
        <v>0</v>
      </c>
      <c r="N39" s="21">
        <f t="shared" si="0"/>
        <v>0</v>
      </c>
      <c r="O39" s="42">
        <f t="shared" ref="O39:U39" si="1">O37-O38</f>
        <v>0</v>
      </c>
      <c r="P39" s="21">
        <f t="shared" si="1"/>
        <v>0</v>
      </c>
      <c r="Q39" s="21">
        <f t="shared" si="1"/>
        <v>0</v>
      </c>
      <c r="R39" s="21">
        <f t="shared" si="1"/>
        <v>0</v>
      </c>
      <c r="S39" s="21">
        <f t="shared" si="1"/>
        <v>0</v>
      </c>
      <c r="T39" s="42">
        <f t="shared" si="1"/>
        <v>0</v>
      </c>
      <c r="U39" s="21">
        <f t="shared" si="1"/>
        <v>0</v>
      </c>
      <c r="V39" s="1"/>
      <c r="W39" s="33" t="s">
        <v>26</v>
      </c>
      <c r="X39" s="34" t="s">
        <v>82</v>
      </c>
      <c r="Y39" s="1"/>
      <c r="Z39" s="1"/>
      <c r="AA39" s="1"/>
      <c r="AB39" s="1"/>
      <c r="AC39" s="1"/>
      <c r="AD39" s="1"/>
      <c r="AE39" s="1"/>
      <c r="AF39" s="1"/>
      <c r="AG39" s="1"/>
      <c r="AH39" s="1"/>
      <c r="AI39" s="1"/>
      <c r="AJ39" s="1"/>
    </row>
    <row r="40" spans="1:36" x14ac:dyDescent="0.25">
      <c r="A40" s="1"/>
      <c r="B40" s="33"/>
      <c r="C40" s="33"/>
      <c r="D40" s="33"/>
      <c r="E40" s="33"/>
      <c r="F40" s="33"/>
      <c r="G40" s="33"/>
      <c r="H40" s="33"/>
      <c r="I40" s="33"/>
      <c r="J40" s="33"/>
      <c r="K40" s="33"/>
      <c r="L40" s="33"/>
      <c r="M40" s="33"/>
      <c r="N40" s="33"/>
      <c r="O40" s="33"/>
      <c r="P40" s="33"/>
      <c r="Q40" s="33"/>
      <c r="R40" s="33"/>
      <c r="S40" s="33"/>
      <c r="T40" s="33"/>
      <c r="U40" s="33"/>
      <c r="V40" s="33"/>
      <c r="W40" s="33"/>
      <c r="X40" s="1"/>
      <c r="Y40" s="1"/>
      <c r="Z40" s="1"/>
      <c r="AA40" s="1"/>
      <c r="AB40" s="1"/>
      <c r="AC40" s="1"/>
      <c r="AD40" s="1"/>
      <c r="AE40" s="1"/>
      <c r="AF40" s="1"/>
      <c r="AG40" s="1"/>
      <c r="AH40" s="1"/>
      <c r="AI40" s="1"/>
      <c r="AJ40" s="1"/>
    </row>
    <row r="41" spans="1:36" ht="23.25" x14ac:dyDescent="0.35">
      <c r="A41" s="64" t="s">
        <v>55</v>
      </c>
      <c r="B41" s="1"/>
      <c r="C41" s="1"/>
      <c r="D41" s="1"/>
      <c r="E41" s="43"/>
      <c r="F41" s="1"/>
      <c r="G41" s="1"/>
      <c r="H41" s="1"/>
      <c r="I41" s="1"/>
      <c r="J41" s="43"/>
      <c r="K41" s="1"/>
      <c r="L41" s="1"/>
      <c r="M41" s="1"/>
      <c r="N41" s="1"/>
      <c r="O41" s="43"/>
      <c r="P41" s="1"/>
      <c r="Q41" s="1"/>
      <c r="R41" s="1"/>
      <c r="S41" s="1"/>
      <c r="T41" s="43"/>
      <c r="U41" s="1"/>
      <c r="V41" s="1"/>
      <c r="W41" s="33"/>
      <c r="X41" s="1"/>
      <c r="Y41" s="1"/>
      <c r="Z41" s="1"/>
      <c r="AA41" s="1"/>
      <c r="AB41" s="1"/>
      <c r="AC41" s="1"/>
      <c r="AD41" s="1"/>
      <c r="AE41" s="1"/>
      <c r="AF41" s="1"/>
      <c r="AG41" s="1"/>
      <c r="AH41" s="1"/>
      <c r="AI41" s="1"/>
      <c r="AJ41" s="1"/>
    </row>
    <row r="42" spans="1:36" ht="18.75" x14ac:dyDescent="0.3">
      <c r="A42" s="15" t="s">
        <v>37</v>
      </c>
      <c r="B42" s="1"/>
      <c r="C42" s="1"/>
      <c r="D42" s="1"/>
      <c r="E42" s="2"/>
      <c r="F42" s="1"/>
      <c r="G42" s="1"/>
      <c r="H42" s="1"/>
      <c r="I42" s="1"/>
      <c r="J42" s="2"/>
      <c r="K42" s="1"/>
      <c r="L42" s="1"/>
      <c r="M42" s="1"/>
      <c r="N42" s="1"/>
      <c r="O42" s="2"/>
      <c r="P42" s="1"/>
      <c r="Q42" s="1"/>
      <c r="R42" s="1"/>
      <c r="S42" s="1"/>
      <c r="T42" s="2"/>
      <c r="U42" s="1"/>
      <c r="V42" s="1"/>
      <c r="W42" s="33"/>
      <c r="X42" s="1"/>
      <c r="Y42" s="1"/>
      <c r="Z42" s="1"/>
      <c r="AA42" s="1"/>
      <c r="AB42" s="1"/>
      <c r="AC42" s="1"/>
      <c r="AD42" s="1"/>
      <c r="AE42" s="1"/>
      <c r="AF42" s="1"/>
      <c r="AG42" s="1"/>
      <c r="AH42" s="1"/>
      <c r="AI42" s="1"/>
      <c r="AJ42" s="1"/>
    </row>
    <row r="43" spans="1:36" x14ac:dyDescent="0.25">
      <c r="A43" s="16" t="s">
        <v>71</v>
      </c>
      <c r="B43" s="12"/>
      <c r="C43" s="12"/>
      <c r="D43" s="37">
        <f t="shared" ref="D43:M43" si="2">D36</f>
        <v>10</v>
      </c>
      <c r="E43" s="86">
        <f t="shared" si="2"/>
        <v>9</v>
      </c>
      <c r="F43" s="38">
        <f t="shared" si="2"/>
        <v>8</v>
      </c>
      <c r="G43" s="38">
        <f t="shared" si="2"/>
        <v>7</v>
      </c>
      <c r="H43" s="38">
        <f t="shared" si="2"/>
        <v>6</v>
      </c>
      <c r="I43" s="38">
        <f t="shared" si="2"/>
        <v>5</v>
      </c>
      <c r="J43" s="90">
        <f t="shared" si="2"/>
        <v>4</v>
      </c>
      <c r="K43" s="38">
        <f t="shared" si="2"/>
        <v>3</v>
      </c>
      <c r="L43" s="38">
        <f t="shared" si="2"/>
        <v>2</v>
      </c>
      <c r="M43" s="38">
        <f t="shared" si="2"/>
        <v>1</v>
      </c>
      <c r="N43" s="38">
        <f t="shared" ref="N43:U43" si="3">N36</f>
        <v>0</v>
      </c>
      <c r="O43" s="38">
        <f t="shared" si="3"/>
        <v>0</v>
      </c>
      <c r="P43" s="38">
        <f t="shared" si="3"/>
        <v>0</v>
      </c>
      <c r="Q43" s="38">
        <f t="shared" si="3"/>
        <v>0</v>
      </c>
      <c r="R43" s="38">
        <f t="shared" si="3"/>
        <v>0</v>
      </c>
      <c r="S43" s="38">
        <f t="shared" si="3"/>
        <v>0</v>
      </c>
      <c r="T43" s="38">
        <f t="shared" si="3"/>
        <v>0</v>
      </c>
      <c r="U43" s="38">
        <f t="shared" si="3"/>
        <v>0</v>
      </c>
      <c r="V43" s="1"/>
      <c r="W43" s="33" t="s">
        <v>57</v>
      </c>
      <c r="X43" s="34" t="s">
        <v>115</v>
      </c>
      <c r="Y43" s="1"/>
      <c r="Z43" s="1"/>
      <c r="AA43" s="1"/>
      <c r="AB43" s="1"/>
      <c r="AC43" s="1"/>
      <c r="AD43" s="1"/>
      <c r="AE43" s="1"/>
      <c r="AF43" s="1"/>
      <c r="AG43" s="1"/>
      <c r="AH43" s="1"/>
      <c r="AI43" s="1"/>
      <c r="AJ43" s="1"/>
    </row>
    <row r="44" spans="1:36" x14ac:dyDescent="0.25">
      <c r="A44" s="16" t="s">
        <v>72</v>
      </c>
      <c r="B44" s="12"/>
      <c r="C44" s="12"/>
      <c r="D44" s="37">
        <f>IF(D25&lt;$C$7,0,IF(D25=$C$7,D37,C46))</f>
        <v>39563590.885550849</v>
      </c>
      <c r="E44" s="44">
        <f t="shared" ref="E44:M44" si="4">IF(E25&lt;$C$7,0,IF(E25=$C$7,E37,D46))</f>
        <v>35607231.796995766</v>
      </c>
      <c r="F44" s="77">
        <f t="shared" si="4"/>
        <v>31650872.70844068</v>
      </c>
      <c r="G44" s="77">
        <f t="shared" si="4"/>
        <v>27694513.619885594</v>
      </c>
      <c r="H44" s="77">
        <f t="shared" si="4"/>
        <v>23738154.531330507</v>
      </c>
      <c r="I44" s="77">
        <f t="shared" si="4"/>
        <v>19781795.442775421</v>
      </c>
      <c r="J44" s="91">
        <f t="shared" si="4"/>
        <v>15825436.354220336</v>
      </c>
      <c r="K44" s="77">
        <f t="shared" si="4"/>
        <v>11869077.265665252</v>
      </c>
      <c r="L44" s="77">
        <f t="shared" si="4"/>
        <v>7912718.1771101672</v>
      </c>
      <c r="M44" s="38">
        <f t="shared" si="4"/>
        <v>3956359.0885550836</v>
      </c>
      <c r="N44" s="38">
        <f t="shared" ref="N44:U44" si="5">IF(N25&lt;$C$7,0,IF(N25=$C$7,N37,M46))</f>
        <v>0</v>
      </c>
      <c r="O44" s="38">
        <f t="shared" si="5"/>
        <v>0</v>
      </c>
      <c r="P44" s="38">
        <f t="shared" si="5"/>
        <v>0</v>
      </c>
      <c r="Q44" s="38">
        <f t="shared" si="5"/>
        <v>0</v>
      </c>
      <c r="R44" s="38">
        <f t="shared" si="5"/>
        <v>0</v>
      </c>
      <c r="S44" s="38">
        <f t="shared" si="5"/>
        <v>0</v>
      </c>
      <c r="T44" s="38">
        <f t="shared" si="5"/>
        <v>0</v>
      </c>
      <c r="U44" s="38">
        <f t="shared" si="5"/>
        <v>0</v>
      </c>
      <c r="V44" s="1"/>
      <c r="W44" s="33" t="s">
        <v>59</v>
      </c>
      <c r="X44" s="34" t="s">
        <v>108</v>
      </c>
      <c r="Y44" s="1"/>
      <c r="Z44" s="1"/>
      <c r="AA44" s="1"/>
      <c r="AB44" s="1"/>
      <c r="AC44" s="1"/>
      <c r="AD44" s="1"/>
      <c r="AE44" s="1"/>
      <c r="AF44" s="1"/>
      <c r="AG44" s="1"/>
      <c r="AH44" s="1"/>
      <c r="AI44" s="1"/>
      <c r="AJ44" s="1"/>
    </row>
    <row r="45" spans="1:36" x14ac:dyDescent="0.25">
      <c r="A45" s="16" t="s">
        <v>69</v>
      </c>
      <c r="B45" s="12"/>
      <c r="C45" s="12"/>
      <c r="D45" s="37">
        <f>IF(D44&gt;0,IFERROR(D44/D43,0),0)</f>
        <v>3956359.088555085</v>
      </c>
      <c r="E45" s="44">
        <f t="shared" ref="E45:M45" si="6">IF(E44&gt;0,IFERROR(E44/E43,0),0)</f>
        <v>3956359.088555085</v>
      </c>
      <c r="F45" s="77">
        <f t="shared" si="6"/>
        <v>3956359.088555085</v>
      </c>
      <c r="G45" s="77">
        <f t="shared" si="6"/>
        <v>3956359.088555085</v>
      </c>
      <c r="H45" s="77">
        <f t="shared" si="6"/>
        <v>3956359.0885550845</v>
      </c>
      <c r="I45" s="77">
        <f t="shared" si="6"/>
        <v>3956359.0885550841</v>
      </c>
      <c r="J45" s="91">
        <f t="shared" si="6"/>
        <v>3956359.0885550841</v>
      </c>
      <c r="K45" s="77">
        <f t="shared" si="6"/>
        <v>3956359.0885550841</v>
      </c>
      <c r="L45" s="77">
        <f t="shared" si="6"/>
        <v>3956359.0885550836</v>
      </c>
      <c r="M45" s="38">
        <f t="shared" si="6"/>
        <v>3956359.0885550836</v>
      </c>
      <c r="N45" s="38">
        <f t="shared" ref="N45" si="7">IF(N44&gt;0,IFERROR(N44/N43,0),0)</f>
        <v>0</v>
      </c>
      <c r="O45" s="38">
        <f t="shared" ref="O45" si="8">IF(O44&gt;0,IFERROR(O44/O43,0),0)</f>
        <v>0</v>
      </c>
      <c r="P45" s="38">
        <f t="shared" ref="P45" si="9">IF(P44&gt;0,IFERROR(P44/P43,0),0)</f>
        <v>0</v>
      </c>
      <c r="Q45" s="38">
        <f t="shared" ref="Q45" si="10">IF(Q44&gt;0,IFERROR(Q44/Q43,0),0)</f>
        <v>0</v>
      </c>
      <c r="R45" s="38">
        <f t="shared" ref="R45" si="11">IF(R44&gt;0,IFERROR(R44/R43,0),0)</f>
        <v>0</v>
      </c>
      <c r="S45" s="38">
        <f t="shared" ref="S45" si="12">IF(S44&gt;0,IFERROR(S44/S43,0),0)</f>
        <v>0</v>
      </c>
      <c r="T45" s="38">
        <f t="shared" ref="T45" si="13">IF(T44&gt;0,IFERROR(T44/T43,0),0)</f>
        <v>0</v>
      </c>
      <c r="U45" s="38">
        <f t="shared" ref="U45" si="14">IF(U44&gt;0,IFERROR(U44/U43,0),0)</f>
        <v>0</v>
      </c>
      <c r="V45" s="1"/>
      <c r="W45" s="33" t="s">
        <v>123</v>
      </c>
      <c r="X45" s="34" t="s">
        <v>109</v>
      </c>
      <c r="Y45" s="1"/>
      <c r="Z45" s="1"/>
      <c r="AA45" s="1"/>
      <c r="AB45" s="1"/>
      <c r="AC45" s="1"/>
      <c r="AD45" s="1"/>
      <c r="AE45" s="1"/>
      <c r="AF45" s="1"/>
      <c r="AG45" s="1"/>
      <c r="AH45" s="1"/>
      <c r="AI45" s="1"/>
      <c r="AJ45" s="1"/>
    </row>
    <row r="46" spans="1:36" x14ac:dyDescent="0.25">
      <c r="A46" s="16" t="s">
        <v>36</v>
      </c>
      <c r="B46" s="12"/>
      <c r="C46" s="12"/>
      <c r="D46" s="37">
        <f t="shared" ref="D46:M46" si="15">D44-D45</f>
        <v>35607231.796995766</v>
      </c>
      <c r="E46" s="44">
        <f t="shared" si="15"/>
        <v>31650872.70844068</v>
      </c>
      <c r="F46" s="77">
        <f t="shared" si="15"/>
        <v>27694513.619885594</v>
      </c>
      <c r="G46" s="77">
        <f t="shared" si="15"/>
        <v>23738154.531330507</v>
      </c>
      <c r="H46" s="77">
        <f t="shared" si="15"/>
        <v>19781795.442775421</v>
      </c>
      <c r="I46" s="77">
        <f t="shared" si="15"/>
        <v>15825436.354220336</v>
      </c>
      <c r="J46" s="91">
        <f t="shared" si="15"/>
        <v>11869077.265665252</v>
      </c>
      <c r="K46" s="77">
        <f t="shared" si="15"/>
        <v>7912718.1771101672</v>
      </c>
      <c r="L46" s="77">
        <f t="shared" si="15"/>
        <v>3956359.0885550836</v>
      </c>
      <c r="M46" s="38">
        <f t="shared" si="15"/>
        <v>0</v>
      </c>
      <c r="N46" s="38">
        <f t="shared" ref="N46" si="16">N44-N45</f>
        <v>0</v>
      </c>
      <c r="O46" s="38">
        <f t="shared" ref="O46" si="17">O44-O45</f>
        <v>0</v>
      </c>
      <c r="P46" s="38">
        <f t="shared" ref="P46" si="18">P44-P45</f>
        <v>0</v>
      </c>
      <c r="Q46" s="38">
        <f t="shared" ref="Q46" si="19">Q44-Q45</f>
        <v>0</v>
      </c>
      <c r="R46" s="38">
        <f t="shared" ref="R46" si="20">R44-R45</f>
        <v>0</v>
      </c>
      <c r="S46" s="38">
        <f t="shared" ref="S46" si="21">S44-S45</f>
        <v>0</v>
      </c>
      <c r="T46" s="38">
        <f t="shared" ref="T46" si="22">T44-T45</f>
        <v>0</v>
      </c>
      <c r="U46" s="38">
        <f t="shared" ref="U46" si="23">U44-U45</f>
        <v>0</v>
      </c>
      <c r="V46" s="1"/>
      <c r="W46" s="33" t="s">
        <v>124</v>
      </c>
      <c r="X46" s="34" t="s">
        <v>85</v>
      </c>
      <c r="Y46" s="1"/>
    </row>
    <row r="47" spans="1:36" x14ac:dyDescent="0.25">
      <c r="A47" s="16" t="s">
        <v>73</v>
      </c>
      <c r="B47" s="14"/>
      <c r="C47" s="14">
        <f>SUM(D45:U45)</f>
        <v>39563590.885550842</v>
      </c>
      <c r="D47" s="36"/>
      <c r="E47" s="45"/>
      <c r="F47" s="36"/>
      <c r="G47" s="36"/>
      <c r="H47" s="36"/>
      <c r="I47" s="36"/>
      <c r="J47" s="45"/>
      <c r="K47" s="36"/>
      <c r="L47" s="36"/>
      <c r="M47" s="36"/>
      <c r="N47" s="36"/>
      <c r="O47" s="36"/>
      <c r="P47" s="36"/>
      <c r="Q47" s="36"/>
      <c r="R47" s="36"/>
      <c r="S47" s="36"/>
      <c r="T47" s="36"/>
      <c r="U47" s="36"/>
      <c r="V47" s="1"/>
      <c r="W47" s="33"/>
      <c r="X47" s="34" t="s">
        <v>86</v>
      </c>
      <c r="Y47" s="1"/>
      <c r="Z47" s="1"/>
      <c r="AA47" s="1"/>
      <c r="AB47" s="1"/>
      <c r="AC47" s="1"/>
      <c r="AD47" s="1"/>
      <c r="AE47" s="1"/>
      <c r="AF47" s="1"/>
      <c r="AG47" s="1"/>
      <c r="AH47" s="1"/>
      <c r="AI47" s="1"/>
      <c r="AJ47" s="1"/>
    </row>
    <row r="48" spans="1:36" x14ac:dyDescent="0.25">
      <c r="A48" s="16" t="s">
        <v>74</v>
      </c>
      <c r="B48" s="14"/>
      <c r="C48" s="14">
        <f>C30-C47</f>
        <v>0</v>
      </c>
      <c r="D48" s="36"/>
      <c r="E48" s="45"/>
      <c r="F48" s="36"/>
      <c r="G48" s="36"/>
      <c r="H48" s="36"/>
      <c r="I48" s="36"/>
      <c r="J48" s="45"/>
      <c r="K48" s="36"/>
      <c r="L48" s="36"/>
      <c r="M48" s="36"/>
      <c r="N48" s="36"/>
      <c r="O48" s="36"/>
      <c r="P48" s="36"/>
      <c r="Q48" s="36"/>
      <c r="R48" s="36"/>
      <c r="S48" s="36"/>
      <c r="T48" s="36"/>
      <c r="U48" s="36"/>
      <c r="V48" s="1"/>
      <c r="W48" s="33"/>
      <c r="X48" s="34" t="s">
        <v>87</v>
      </c>
      <c r="Y48" s="1"/>
      <c r="Z48" s="1"/>
      <c r="AA48" s="1"/>
      <c r="AB48" s="1"/>
      <c r="AC48" s="1"/>
      <c r="AD48" s="1"/>
      <c r="AE48" s="1"/>
      <c r="AF48" s="1"/>
      <c r="AG48" s="1"/>
      <c r="AH48" s="1"/>
      <c r="AI48" s="1"/>
      <c r="AJ48" s="1"/>
    </row>
    <row r="49" spans="1:36" x14ac:dyDescent="0.25">
      <c r="A49" s="29"/>
      <c r="B49" s="29"/>
      <c r="C49" s="29"/>
      <c r="D49" s="29"/>
      <c r="E49" s="46"/>
      <c r="F49" s="29"/>
      <c r="G49" s="29"/>
      <c r="H49" s="29"/>
      <c r="I49" s="29"/>
      <c r="J49" s="46"/>
      <c r="K49" s="29"/>
      <c r="L49" s="29"/>
      <c r="M49" s="29"/>
      <c r="N49" s="29"/>
      <c r="O49" s="29"/>
      <c r="P49" s="29"/>
      <c r="Q49" s="29"/>
      <c r="R49" s="29"/>
      <c r="S49" s="29"/>
      <c r="T49" s="29"/>
      <c r="U49" s="29"/>
      <c r="V49" s="1"/>
      <c r="W49" s="33"/>
      <c r="X49" s="1"/>
      <c r="Y49" s="1"/>
      <c r="Z49" s="1"/>
      <c r="AA49" s="1"/>
      <c r="AB49" s="1"/>
      <c r="AC49" s="1"/>
      <c r="AD49" s="1"/>
      <c r="AE49" s="1"/>
      <c r="AF49" s="1"/>
      <c r="AG49" s="1"/>
      <c r="AH49" s="1"/>
      <c r="AI49" s="1"/>
      <c r="AJ49" s="1"/>
    </row>
    <row r="50" spans="1:36" x14ac:dyDescent="0.25">
      <c r="A50" s="16" t="s">
        <v>118</v>
      </c>
      <c r="B50" s="16"/>
      <c r="C50" s="12"/>
      <c r="D50" s="101">
        <f t="shared" ref="D50:E50" si="24">D45-D27</f>
        <v>-1043640.911444915</v>
      </c>
      <c r="E50" s="101">
        <f t="shared" si="24"/>
        <v>-1043640.911444915</v>
      </c>
      <c r="F50" s="14">
        <f t="shared" ref="F50:M50" si="25">F45-F27</f>
        <v>-1043640.911444915</v>
      </c>
      <c r="G50" s="14">
        <f t="shared" si="25"/>
        <v>-1043640.911444915</v>
      </c>
      <c r="H50" s="14">
        <f t="shared" si="25"/>
        <v>-1043640.9114449155</v>
      </c>
      <c r="I50" s="14">
        <f t="shared" si="25"/>
        <v>-1043640.9114449159</v>
      </c>
      <c r="J50" s="14">
        <f t="shared" si="25"/>
        <v>-1043640.9114449159</v>
      </c>
      <c r="K50" s="14">
        <f t="shared" si="25"/>
        <v>-1043640.9114449159</v>
      </c>
      <c r="L50" s="14">
        <f t="shared" si="25"/>
        <v>-1043640.9114449164</v>
      </c>
      <c r="M50" s="14">
        <f t="shared" si="25"/>
        <v>-1043640.9114449164</v>
      </c>
      <c r="N50" s="14">
        <f t="shared" ref="N50:U50" si="26">N45-N27</f>
        <v>0</v>
      </c>
      <c r="O50" s="14">
        <f t="shared" si="26"/>
        <v>0</v>
      </c>
      <c r="P50" s="14">
        <f t="shared" si="26"/>
        <v>0</v>
      </c>
      <c r="Q50" s="14">
        <f t="shared" si="26"/>
        <v>0</v>
      </c>
      <c r="R50" s="14">
        <f t="shared" si="26"/>
        <v>0</v>
      </c>
      <c r="S50" s="14">
        <f t="shared" si="26"/>
        <v>0</v>
      </c>
      <c r="T50" s="14">
        <f t="shared" si="26"/>
        <v>0</v>
      </c>
      <c r="U50" s="14">
        <f t="shared" si="26"/>
        <v>0</v>
      </c>
      <c r="V50" s="1"/>
      <c r="W50" s="33"/>
      <c r="X50" s="34"/>
      <c r="Y50" s="1"/>
      <c r="Z50" s="1"/>
      <c r="AA50" s="1"/>
      <c r="AB50" s="1"/>
      <c r="AC50" s="1"/>
      <c r="AD50" s="1"/>
      <c r="AE50" s="1"/>
      <c r="AF50" s="1"/>
      <c r="AG50" s="1"/>
      <c r="AH50" s="1"/>
      <c r="AI50" s="1"/>
      <c r="AJ50" s="1"/>
    </row>
    <row r="51" spans="1:36" x14ac:dyDescent="0.25">
      <c r="A51" s="33"/>
      <c r="B51" s="33"/>
      <c r="C51" s="33"/>
      <c r="D51" s="33"/>
      <c r="E51" s="33"/>
      <c r="F51" s="106"/>
      <c r="G51" s="33"/>
      <c r="H51" s="33"/>
      <c r="I51" s="33"/>
      <c r="J51" s="33"/>
      <c r="K51" s="33"/>
      <c r="L51" s="33"/>
      <c r="M51" s="33"/>
      <c r="N51" s="33"/>
      <c r="O51" s="33"/>
      <c r="P51" s="33"/>
      <c r="Q51" s="33"/>
      <c r="R51" s="33"/>
      <c r="S51" s="33"/>
      <c r="T51" s="33"/>
      <c r="U51" s="33"/>
      <c r="V51" s="33"/>
      <c r="W51" s="33"/>
      <c r="X51" s="33"/>
      <c r="Y51" s="1"/>
      <c r="Z51" s="1"/>
      <c r="AA51" s="1"/>
      <c r="AB51" s="1"/>
      <c r="AC51" s="1"/>
      <c r="AD51" s="1"/>
      <c r="AE51" s="1"/>
      <c r="AF51" s="1"/>
      <c r="AG51" s="1"/>
      <c r="AH51" s="1"/>
      <c r="AI51" s="1"/>
      <c r="AJ51" s="1"/>
    </row>
    <row r="52" spans="1:36" ht="18.75" x14ac:dyDescent="0.3">
      <c r="A52" s="15" t="s">
        <v>20</v>
      </c>
      <c r="B52" s="33"/>
      <c r="C52" s="33"/>
      <c r="D52" s="33"/>
      <c r="E52" s="33"/>
      <c r="F52" s="33"/>
      <c r="G52" s="33"/>
      <c r="H52" s="33"/>
      <c r="I52" s="33"/>
      <c r="J52" s="33"/>
      <c r="K52" s="33"/>
      <c r="L52" s="33"/>
      <c r="M52" s="33"/>
      <c r="N52" s="33"/>
      <c r="O52" s="33"/>
      <c r="P52" s="33"/>
      <c r="Q52" s="33"/>
      <c r="R52" s="33"/>
      <c r="S52" s="33"/>
      <c r="T52" s="33"/>
      <c r="U52" s="33"/>
      <c r="V52" s="33"/>
      <c r="W52" s="33"/>
      <c r="X52" s="33"/>
      <c r="Y52" s="1"/>
      <c r="Z52" s="1"/>
      <c r="AA52" s="1"/>
      <c r="AB52" s="1"/>
      <c r="AC52" s="1"/>
      <c r="AD52" s="1"/>
      <c r="AE52" s="1"/>
      <c r="AF52" s="1"/>
      <c r="AG52" s="1"/>
      <c r="AH52" s="1"/>
      <c r="AI52" s="1"/>
      <c r="AJ52" s="1"/>
    </row>
    <row r="53" spans="1:36" x14ac:dyDescent="0.25">
      <c r="A53" s="16" t="s">
        <v>15</v>
      </c>
      <c r="B53" s="12"/>
      <c r="C53" s="12"/>
      <c r="D53" s="37">
        <f t="shared" ref="D53:M53" si="27">IF(AND($C$7=D25,$C$6=$O$2),D37,C55)</f>
        <v>39563590.885550849</v>
      </c>
      <c r="E53" s="37">
        <f t="shared" si="27"/>
        <v>33629052.252718225</v>
      </c>
      <c r="F53" s="21">
        <f t="shared" si="27"/>
        <v>28584694.414810494</v>
      </c>
      <c r="G53" s="21">
        <f t="shared" si="27"/>
        <v>24296990.25258892</v>
      </c>
      <c r="H53" s="21">
        <f t="shared" si="27"/>
        <v>20652441.714700583</v>
      </c>
      <c r="I53" s="21">
        <f t="shared" si="27"/>
        <v>17554575.457495496</v>
      </c>
      <c r="J53" s="21">
        <f t="shared" si="27"/>
        <v>14921389.138871171</v>
      </c>
      <c r="K53" s="21">
        <f t="shared" si="27"/>
        <v>12683180.768040495</v>
      </c>
      <c r="L53" s="21">
        <f t="shared" si="27"/>
        <v>10780703.652834421</v>
      </c>
      <c r="M53" s="21">
        <f t="shared" si="27"/>
        <v>9163598.104909258</v>
      </c>
      <c r="N53" s="21">
        <f t="shared" ref="N53:U53" si="28">IF(AND($C$7=N25,$C$6=$O$2),N37,M55)</f>
        <v>0</v>
      </c>
      <c r="O53" s="21">
        <f t="shared" si="28"/>
        <v>0</v>
      </c>
      <c r="P53" s="21">
        <f t="shared" si="28"/>
        <v>0</v>
      </c>
      <c r="Q53" s="21">
        <f t="shared" si="28"/>
        <v>0</v>
      </c>
      <c r="R53" s="21">
        <f t="shared" si="28"/>
        <v>0</v>
      </c>
      <c r="S53" s="21">
        <f t="shared" si="28"/>
        <v>0</v>
      </c>
      <c r="T53" s="21">
        <f t="shared" si="28"/>
        <v>0</v>
      </c>
      <c r="U53" s="21">
        <f t="shared" si="28"/>
        <v>0</v>
      </c>
      <c r="V53" s="1"/>
      <c r="W53" s="33" t="s">
        <v>60</v>
      </c>
      <c r="X53" s="34"/>
      <c r="Y53" s="1"/>
      <c r="Z53" s="1"/>
      <c r="AA53" s="1"/>
      <c r="AB53" s="1"/>
      <c r="AC53" s="1"/>
      <c r="AD53" s="1"/>
      <c r="AE53" s="1"/>
      <c r="AF53" s="1"/>
      <c r="AG53" s="1"/>
      <c r="AH53" s="1"/>
      <c r="AI53" s="1"/>
      <c r="AJ53" s="1"/>
    </row>
    <row r="54" spans="1:36" x14ac:dyDescent="0.25">
      <c r="A54" s="16" t="s">
        <v>13</v>
      </c>
      <c r="B54" s="12"/>
      <c r="C54" s="12"/>
      <c r="D54" s="37">
        <f>IF(D$25&lt;'Equivalence calculations'!$C$7,0,IF(D$25&gt;=$C$7+$C$11-1,D53,D53*'Equivalence calculations'!$C$13))</f>
        <v>5934538.6328326268</v>
      </c>
      <c r="E54" s="37">
        <f>IF(E$25&lt;'Equivalence calculations'!$C$7,0,IF(E$25&gt;=$C$7+$C$11-1,E53,E53*'Equivalence calculations'!$C$13))</f>
        <v>5044357.8379077334</v>
      </c>
      <c r="F54" s="21">
        <f>IF(F$25&lt;'Equivalence calculations'!$C$7,0,IF(F$25&gt;=$C$7+$C$11-1,F53,F53*'Equivalence calculations'!$C$13))</f>
        <v>4287704.1622215742</v>
      </c>
      <c r="G54" s="21">
        <f>IF(G$25&lt;'Equivalence calculations'!$C$7,0,IF(G$25&gt;=$C$7+$C$11-1,G53,G53*'Equivalence calculations'!$C$13))</f>
        <v>3644548.5378883379</v>
      </c>
      <c r="H54" s="21">
        <f>IF(H$25&lt;'Equivalence calculations'!$C$7,0,IF(H$25&gt;=$C$7+$C$11-1,H53,H53*'Equivalence calculations'!$C$13))</f>
        <v>3097866.2572050872</v>
      </c>
      <c r="I54" s="21">
        <f>IF(I$25&lt;'Equivalence calculations'!$C$7,0,IF(I$25&gt;=$C$7+$C$11-1,I53,I53*'Equivalence calculations'!$C$13))</f>
        <v>2633186.3186243242</v>
      </c>
      <c r="J54" s="21">
        <f>IF(J$25&lt;'Equivalence calculations'!$C$7,0,IF(J$25&gt;=$C$7+$C$11-1,J53,J53*'Equivalence calculations'!$C$13))</f>
        <v>2238208.3708306756</v>
      </c>
      <c r="K54" s="21">
        <f>IF(K$25&lt;'Equivalence calculations'!$C$7,0,IF(K$25&gt;=$C$7+$C$11-1,K53,K53*'Equivalence calculations'!$C$13))</f>
        <v>1902477.1152060742</v>
      </c>
      <c r="L54" s="21">
        <f>IF(L$25&lt;'Equivalence calculations'!$C$7,0,IF(L$25&gt;=$C$7+$C$11-1,L53,L53*'Equivalence calculations'!$C$13))</f>
        <v>1617105.5479251631</v>
      </c>
      <c r="M54" s="21">
        <f>IF(M$25&lt;'Equivalence calculations'!$C$7,0,IF(M$25&gt;=$C$7+$C$11-1,M53,M53*'Equivalence calculations'!$C$13))</f>
        <v>9163598.104909258</v>
      </c>
      <c r="N54" s="21">
        <f>IF(N$25&lt;'Equivalence calculations'!$C$7,0,IF(N$25&gt;=$C$7+$C$11-1,N53,N53*'Equivalence calculations'!$C$13))</f>
        <v>0</v>
      </c>
      <c r="O54" s="21">
        <f>IF(O$25&lt;'Equivalence calculations'!$C$7,0,IF(O$25&gt;=$C$7+$C$11-1,O53,O53*'Equivalence calculations'!$C$13))</f>
        <v>0</v>
      </c>
      <c r="P54" s="21">
        <f>IF(P$25&lt;'Equivalence calculations'!$C$7,0,IF(P$25&gt;=$C$7+$C$11-1,P53,P53*'Equivalence calculations'!$C$13))</f>
        <v>0</v>
      </c>
      <c r="Q54" s="21">
        <f>IF(Q$25&lt;'Equivalence calculations'!$C$7,0,IF(Q$25&gt;=$C$7+$C$11-1,Q53,Q53*'Equivalence calculations'!$C$13))</f>
        <v>0</v>
      </c>
      <c r="R54" s="21">
        <f>IF(R$25&lt;'Equivalence calculations'!$C$7,0,IF(R$25&gt;=$C$7+$C$11-1,R53,R53*'Equivalence calculations'!$C$13))</f>
        <v>0</v>
      </c>
      <c r="S54" s="21">
        <f>IF(S$25&lt;'Equivalence calculations'!$C$7,0,IF(S$25&gt;=$C$7+$C$11-1,S53,S53*'Equivalence calculations'!$C$13))</f>
        <v>0</v>
      </c>
      <c r="T54" s="21">
        <f>IF(T$25&lt;'Equivalence calculations'!$C$7,0,IF(T$25&gt;=$C$7+$C$11-1,T53,T53*'Equivalence calculations'!$C$13))</f>
        <v>0</v>
      </c>
      <c r="U54" s="21">
        <f>IF(U$25&lt;'Equivalence calculations'!$C$7,0,IF(U$25&gt;=$C$7+$C$11-1,U53,U53*'Equivalence calculations'!$C$13))</f>
        <v>0</v>
      </c>
      <c r="V54" s="1"/>
      <c r="W54" s="33"/>
      <c r="X54" s="34"/>
      <c r="Y54" s="1"/>
      <c r="Z54" s="1"/>
      <c r="AA54" s="1"/>
      <c r="AB54" s="1"/>
      <c r="AC54" s="1"/>
      <c r="AD54" s="1"/>
      <c r="AE54" s="1"/>
      <c r="AF54" s="1"/>
      <c r="AG54" s="1"/>
      <c r="AH54" s="1"/>
      <c r="AI54" s="1"/>
      <c r="AJ54" s="1"/>
    </row>
    <row r="55" spans="1:36" x14ac:dyDescent="0.25">
      <c r="A55" s="16" t="s">
        <v>16</v>
      </c>
      <c r="B55" s="12"/>
      <c r="C55" s="12"/>
      <c r="D55" s="37">
        <f>D53-D54</f>
        <v>33629052.252718225</v>
      </c>
      <c r="E55" s="86">
        <f t="shared" ref="E55:M55" si="29">E53-E54</f>
        <v>28584694.414810494</v>
      </c>
      <c r="F55" s="21">
        <f t="shared" si="29"/>
        <v>24296990.25258892</v>
      </c>
      <c r="G55" s="21">
        <f t="shared" si="29"/>
        <v>20652441.714700583</v>
      </c>
      <c r="H55" s="21">
        <f t="shared" si="29"/>
        <v>17554575.457495496</v>
      </c>
      <c r="I55" s="21">
        <f t="shared" si="29"/>
        <v>14921389.138871171</v>
      </c>
      <c r="J55" s="42">
        <f t="shared" si="29"/>
        <v>12683180.768040495</v>
      </c>
      <c r="K55" s="21">
        <f t="shared" si="29"/>
        <v>10780703.652834421</v>
      </c>
      <c r="L55" s="21">
        <f t="shared" si="29"/>
        <v>9163598.104909258</v>
      </c>
      <c r="M55" s="21">
        <f t="shared" si="29"/>
        <v>0</v>
      </c>
      <c r="N55" s="21">
        <f t="shared" ref="N55" si="30">N53-N54</f>
        <v>0</v>
      </c>
      <c r="O55" s="21">
        <f t="shared" ref="O55" si="31">O53-O54</f>
        <v>0</v>
      </c>
      <c r="P55" s="21">
        <f t="shared" ref="P55" si="32">P53-P54</f>
        <v>0</v>
      </c>
      <c r="Q55" s="21">
        <f t="shared" ref="Q55" si="33">Q53-Q54</f>
        <v>0</v>
      </c>
      <c r="R55" s="21">
        <f t="shared" ref="R55" si="34">R53-R54</f>
        <v>0</v>
      </c>
      <c r="S55" s="21">
        <f t="shared" ref="S55" si="35">S53-S54</f>
        <v>0</v>
      </c>
      <c r="T55" s="21">
        <f t="shared" ref="T55" si="36">T53-T54</f>
        <v>0</v>
      </c>
      <c r="U55" s="21">
        <f t="shared" ref="U55" si="37">U53-U54</f>
        <v>0</v>
      </c>
      <c r="V55" s="1"/>
      <c r="W55" s="33"/>
      <c r="X55" s="34"/>
      <c r="Y55" s="1"/>
      <c r="Z55" s="1"/>
      <c r="AA55" s="1"/>
      <c r="AB55" s="1"/>
      <c r="AC55" s="1"/>
      <c r="AD55" s="1"/>
      <c r="AE55" s="1"/>
      <c r="AF55" s="1"/>
      <c r="AG55" s="1"/>
      <c r="AH55" s="1"/>
      <c r="AI55" s="1"/>
      <c r="AJ55" s="1"/>
    </row>
    <row r="56" spans="1:36" x14ac:dyDescent="0.25">
      <c r="A56" s="1"/>
      <c r="B56" s="1"/>
      <c r="C56" s="1"/>
      <c r="D56" s="1"/>
      <c r="E56" s="43"/>
      <c r="F56" s="1"/>
      <c r="G56" s="1"/>
      <c r="H56" s="1"/>
      <c r="I56" s="1"/>
      <c r="J56" s="43"/>
      <c r="K56" s="1"/>
      <c r="L56" s="1"/>
      <c r="M56" s="1"/>
      <c r="N56" s="1"/>
      <c r="O56" s="1"/>
      <c r="P56" s="1"/>
      <c r="Q56" s="1"/>
      <c r="R56" s="1"/>
      <c r="S56" s="1"/>
      <c r="T56" s="1"/>
      <c r="U56" s="1"/>
      <c r="V56" s="1"/>
      <c r="W56" s="33"/>
      <c r="X56" s="1"/>
      <c r="Y56" s="1"/>
      <c r="Z56" s="1"/>
      <c r="AA56" s="1"/>
      <c r="AB56" s="1"/>
      <c r="AC56" s="1"/>
      <c r="AD56" s="1"/>
      <c r="AE56" s="1"/>
      <c r="AF56" s="1"/>
      <c r="AG56" s="1"/>
      <c r="AH56" s="1"/>
      <c r="AI56" s="1"/>
      <c r="AJ56" s="1"/>
    </row>
    <row r="57" spans="1:36" x14ac:dyDescent="0.25">
      <c r="A57" s="16" t="s">
        <v>119</v>
      </c>
      <c r="B57" s="12"/>
      <c r="C57" s="12"/>
      <c r="D57" s="37">
        <f t="shared" ref="D57:E57" si="38">D54-D45</f>
        <v>1978179.5442775418</v>
      </c>
      <c r="E57" s="37">
        <f t="shared" si="38"/>
        <v>1087998.7493526484</v>
      </c>
      <c r="F57" s="21">
        <f>F54-F45</f>
        <v>331345.07366648922</v>
      </c>
      <c r="G57" s="21">
        <f t="shared" ref="G57:M57" si="39">G54-G45</f>
        <v>-311810.55066674715</v>
      </c>
      <c r="H57" s="21">
        <f t="shared" si="39"/>
        <v>-858492.83134999732</v>
      </c>
      <c r="I57" s="21">
        <f t="shared" si="39"/>
        <v>-1323172.7699307599</v>
      </c>
      <c r="J57" s="21">
        <f t="shared" si="39"/>
        <v>-1718150.7177244085</v>
      </c>
      <c r="K57" s="21">
        <f t="shared" si="39"/>
        <v>-2053881.9733490099</v>
      </c>
      <c r="L57" s="21">
        <f t="shared" si="39"/>
        <v>-2339253.5406299205</v>
      </c>
      <c r="M57" s="21">
        <f t="shared" si="39"/>
        <v>5207239.0163541744</v>
      </c>
      <c r="N57" s="21">
        <f t="shared" ref="N57:U57" si="40">N54-N45</f>
        <v>0</v>
      </c>
      <c r="O57" s="21">
        <f t="shared" si="40"/>
        <v>0</v>
      </c>
      <c r="P57" s="21">
        <f t="shared" si="40"/>
        <v>0</v>
      </c>
      <c r="Q57" s="21">
        <f t="shared" si="40"/>
        <v>0</v>
      </c>
      <c r="R57" s="21">
        <f t="shared" si="40"/>
        <v>0</v>
      </c>
      <c r="S57" s="21">
        <f t="shared" si="40"/>
        <v>0</v>
      </c>
      <c r="T57" s="21">
        <f t="shared" si="40"/>
        <v>0</v>
      </c>
      <c r="U57" s="21">
        <f t="shared" si="40"/>
        <v>0</v>
      </c>
      <c r="V57" s="1"/>
      <c r="W57" s="33"/>
      <c r="X57" s="34"/>
      <c r="Y57" s="1"/>
      <c r="Z57" s="1"/>
      <c r="AA57" s="1"/>
      <c r="AB57" s="1"/>
      <c r="AC57" s="1"/>
      <c r="AD57" s="1"/>
      <c r="AE57" s="1"/>
      <c r="AF57" s="1"/>
      <c r="AG57" s="1"/>
      <c r="AH57" s="1"/>
      <c r="AI57" s="1"/>
      <c r="AJ57" s="1"/>
    </row>
    <row r="58" spans="1:36" x14ac:dyDescent="0.25">
      <c r="A58" s="1"/>
      <c r="B58" s="1"/>
      <c r="C58" s="1"/>
      <c r="D58" s="1"/>
      <c r="E58" s="43"/>
      <c r="F58" s="1"/>
      <c r="G58" s="1"/>
      <c r="H58" s="1"/>
      <c r="I58" s="1"/>
      <c r="J58" s="43"/>
      <c r="K58" s="1"/>
      <c r="L58" s="1"/>
      <c r="M58" s="1"/>
      <c r="N58" s="1"/>
      <c r="O58" s="1"/>
      <c r="P58" s="1"/>
      <c r="Q58" s="1"/>
      <c r="R58" s="1"/>
      <c r="S58" s="1"/>
      <c r="T58" s="1"/>
      <c r="U58" s="1"/>
      <c r="V58" s="1"/>
      <c r="W58" s="33"/>
      <c r="X58" s="1"/>
      <c r="Y58" s="1"/>
      <c r="Z58" s="1"/>
      <c r="AA58" s="1"/>
      <c r="AB58" s="1"/>
      <c r="AC58" s="1"/>
      <c r="AD58" s="1"/>
      <c r="AE58" s="1"/>
      <c r="AF58" s="1"/>
      <c r="AG58" s="1"/>
      <c r="AH58" s="1"/>
      <c r="AI58" s="1"/>
      <c r="AJ58" s="1"/>
    </row>
    <row r="59" spans="1:36" ht="18.75" x14ac:dyDescent="0.3">
      <c r="A59" s="15" t="s">
        <v>56</v>
      </c>
      <c r="B59" s="33"/>
      <c r="C59" s="33"/>
      <c r="D59" s="33"/>
      <c r="E59" s="87"/>
      <c r="F59" s="33"/>
      <c r="G59" s="33"/>
      <c r="H59" s="33"/>
      <c r="I59" s="33"/>
      <c r="J59" s="87"/>
      <c r="K59" s="33"/>
      <c r="L59" s="33"/>
      <c r="M59" s="33"/>
      <c r="N59" s="33"/>
      <c r="O59" s="33"/>
      <c r="P59" s="33"/>
      <c r="Q59" s="33"/>
      <c r="R59" s="33"/>
      <c r="S59" s="33"/>
      <c r="T59" s="33"/>
      <c r="U59" s="33"/>
      <c r="V59" s="33"/>
      <c r="W59" s="33"/>
      <c r="X59" s="34"/>
      <c r="Y59" s="1"/>
      <c r="Z59" s="1"/>
      <c r="AA59" s="1"/>
      <c r="AB59" s="1"/>
      <c r="AC59" s="1"/>
      <c r="AD59" s="1"/>
      <c r="AE59" s="1"/>
      <c r="AF59" s="1"/>
      <c r="AG59" s="1"/>
      <c r="AH59" s="1"/>
      <c r="AI59" s="1"/>
      <c r="AJ59" s="1"/>
    </row>
    <row r="60" spans="1:36" ht="14.25" customHeight="1" x14ac:dyDescent="0.25">
      <c r="A60" s="27" t="s">
        <v>22</v>
      </c>
      <c r="B60" s="12"/>
      <c r="C60" s="12"/>
      <c r="D60" s="110">
        <f t="shared" ref="D60:E60" si="41">$C$16*D44</f>
        <v>2029612.2124287584</v>
      </c>
      <c r="E60" s="110">
        <f t="shared" si="41"/>
        <v>1826650.9911858828</v>
      </c>
      <c r="F60" s="30">
        <f t="shared" ref="F60:M60" si="42">$C$16*F44</f>
        <v>1623689.7699430068</v>
      </c>
      <c r="G60" s="30">
        <f t="shared" si="42"/>
        <v>1420728.548700131</v>
      </c>
      <c r="H60" s="30">
        <f t="shared" si="42"/>
        <v>1217767.327457255</v>
      </c>
      <c r="I60" s="30">
        <f t="shared" si="42"/>
        <v>1014806.1062143791</v>
      </c>
      <c r="J60" s="30">
        <f t="shared" si="42"/>
        <v>811844.88497150328</v>
      </c>
      <c r="K60" s="30">
        <f t="shared" si="42"/>
        <v>608883.66372862738</v>
      </c>
      <c r="L60" s="30">
        <f t="shared" si="42"/>
        <v>405922.44248575158</v>
      </c>
      <c r="M60" s="30">
        <f t="shared" si="42"/>
        <v>202961.22124287579</v>
      </c>
      <c r="N60" s="30">
        <f t="shared" ref="N60:U60" si="43">$C$16*N44</f>
        <v>0</v>
      </c>
      <c r="O60" s="30">
        <f t="shared" si="43"/>
        <v>0</v>
      </c>
      <c r="P60" s="30">
        <f t="shared" si="43"/>
        <v>0</v>
      </c>
      <c r="Q60" s="30">
        <f t="shared" si="43"/>
        <v>0</v>
      </c>
      <c r="R60" s="30">
        <f t="shared" si="43"/>
        <v>0</v>
      </c>
      <c r="S60" s="30">
        <f t="shared" si="43"/>
        <v>0</v>
      </c>
      <c r="T60" s="30">
        <f t="shared" si="43"/>
        <v>0</v>
      </c>
      <c r="U60" s="30">
        <f t="shared" si="43"/>
        <v>0</v>
      </c>
      <c r="V60" s="1"/>
      <c r="W60" s="33" t="s">
        <v>104</v>
      </c>
      <c r="X60" s="33"/>
      <c r="Y60" s="1"/>
      <c r="Z60" s="1"/>
      <c r="AA60" s="1"/>
      <c r="AB60" s="1"/>
      <c r="AC60" s="1"/>
      <c r="AD60" s="1"/>
      <c r="AE60" s="1"/>
      <c r="AF60" s="1"/>
      <c r="AG60" s="1"/>
      <c r="AH60" s="1"/>
      <c r="AI60" s="1"/>
      <c r="AJ60" s="1"/>
    </row>
    <row r="61" spans="1:36" x14ac:dyDescent="0.25">
      <c r="A61" s="27" t="s">
        <v>92</v>
      </c>
      <c r="B61" s="12"/>
      <c r="C61" s="12"/>
      <c r="D61" s="37">
        <f t="shared" ref="D61:E61" si="44">D45</f>
        <v>3956359.088555085</v>
      </c>
      <c r="E61" s="37">
        <f t="shared" si="44"/>
        <v>3956359.088555085</v>
      </c>
      <c r="F61" s="21">
        <f>F45</f>
        <v>3956359.088555085</v>
      </c>
      <c r="G61" s="21">
        <f t="shared" ref="G61:M61" si="45">G45</f>
        <v>3956359.088555085</v>
      </c>
      <c r="H61" s="21">
        <f t="shared" si="45"/>
        <v>3956359.0885550845</v>
      </c>
      <c r="I61" s="21">
        <f t="shared" si="45"/>
        <v>3956359.0885550841</v>
      </c>
      <c r="J61" s="21">
        <f t="shared" si="45"/>
        <v>3956359.0885550841</v>
      </c>
      <c r="K61" s="21">
        <f t="shared" si="45"/>
        <v>3956359.0885550841</v>
      </c>
      <c r="L61" s="21">
        <f t="shared" si="45"/>
        <v>3956359.0885550836</v>
      </c>
      <c r="M61" s="21">
        <f t="shared" si="45"/>
        <v>3956359.0885550836</v>
      </c>
      <c r="N61" s="21">
        <f t="shared" ref="N61:U61" si="46">N45</f>
        <v>0</v>
      </c>
      <c r="O61" s="21">
        <f t="shared" si="46"/>
        <v>0</v>
      </c>
      <c r="P61" s="21">
        <f t="shared" si="46"/>
        <v>0</v>
      </c>
      <c r="Q61" s="21">
        <f t="shared" si="46"/>
        <v>0</v>
      </c>
      <c r="R61" s="21">
        <f t="shared" si="46"/>
        <v>0</v>
      </c>
      <c r="S61" s="21">
        <f t="shared" si="46"/>
        <v>0</v>
      </c>
      <c r="T61" s="21">
        <f t="shared" si="46"/>
        <v>0</v>
      </c>
      <c r="U61" s="21">
        <f t="shared" si="46"/>
        <v>0</v>
      </c>
      <c r="V61" s="1"/>
      <c r="W61" s="33" t="s">
        <v>104</v>
      </c>
      <c r="X61" s="33"/>
      <c r="Y61" s="1"/>
      <c r="Z61" s="1"/>
      <c r="AA61" s="1"/>
      <c r="AB61" s="1"/>
      <c r="AC61" s="1"/>
      <c r="AD61" s="1"/>
      <c r="AE61" s="1"/>
      <c r="AF61" s="1"/>
      <c r="AG61" s="1"/>
      <c r="AH61" s="1"/>
      <c r="AI61" s="1"/>
      <c r="AJ61" s="1"/>
    </row>
    <row r="62" spans="1:36" x14ac:dyDescent="0.25">
      <c r="A62" s="16" t="s">
        <v>58</v>
      </c>
      <c r="B62" s="12" t="s">
        <v>17</v>
      </c>
      <c r="C62" s="12"/>
      <c r="D62" s="101">
        <f t="shared" ref="D62:E62" si="47">SUM(D65:D69)</f>
        <v>-619138.88100571895</v>
      </c>
      <c r="E62" s="101">
        <f t="shared" si="47"/>
        <v>-328558.81260133954</v>
      </c>
      <c r="F62" s="14">
        <f t="shared" ref="F62:M62" si="48">SUM(F65:F69)</f>
        <v>-89905.957234245579</v>
      </c>
      <c r="G62" s="14">
        <f t="shared" si="48"/>
        <v>104608.76705115553</v>
      </c>
      <c r="H62" s="14">
        <f t="shared" si="48"/>
        <v>261606.07991711798</v>
      </c>
      <c r="I62" s="14">
        <f t="shared" si="48"/>
        <v>386713.59307655768</v>
      </c>
      <c r="J62" s="14">
        <f t="shared" si="48"/>
        <v>484714.77648545278</v>
      </c>
      <c r="K62" s="14">
        <f t="shared" si="48"/>
        <v>559675.57960638532</v>
      </c>
      <c r="L62" s="14">
        <f t="shared" si="48"/>
        <v>615052.05948254908</v>
      </c>
      <c r="M62" s="14">
        <f t="shared" si="48"/>
        <v>-2375296.3978554565</v>
      </c>
      <c r="N62" s="14">
        <f t="shared" ref="N62:U62" si="49">SUM(N65:N69)</f>
        <v>0</v>
      </c>
      <c r="O62" s="14">
        <f t="shared" si="49"/>
        <v>0</v>
      </c>
      <c r="P62" s="14">
        <f t="shared" si="49"/>
        <v>0</v>
      </c>
      <c r="Q62" s="14">
        <f t="shared" si="49"/>
        <v>0</v>
      </c>
      <c r="R62" s="14">
        <f t="shared" si="49"/>
        <v>0</v>
      </c>
      <c r="S62" s="14">
        <f t="shared" si="49"/>
        <v>0</v>
      </c>
      <c r="T62" s="14">
        <f t="shared" si="49"/>
        <v>0</v>
      </c>
      <c r="U62" s="14">
        <f t="shared" si="49"/>
        <v>0</v>
      </c>
      <c r="V62" s="1"/>
      <c r="W62" s="33" t="s">
        <v>104</v>
      </c>
      <c r="X62" s="34"/>
      <c r="Y62" s="1"/>
      <c r="Z62" s="1"/>
      <c r="AA62" s="1"/>
      <c r="AB62" s="1"/>
      <c r="AC62" s="1"/>
      <c r="AD62" s="1"/>
      <c r="AE62" s="1"/>
      <c r="AF62" s="1"/>
      <c r="AG62" s="1"/>
      <c r="AH62" s="1"/>
      <c r="AI62" s="1"/>
      <c r="AJ62" s="1"/>
    </row>
    <row r="63" spans="1:36" x14ac:dyDescent="0.25">
      <c r="A63" s="61" t="s">
        <v>56</v>
      </c>
      <c r="B63" s="61"/>
      <c r="C63" s="61"/>
      <c r="D63" s="111">
        <f t="shared" ref="D63:F63" si="50">D60+D61+D62</f>
        <v>5366832.4199781241</v>
      </c>
      <c r="E63" s="111">
        <f t="shared" si="50"/>
        <v>5454451.2671396285</v>
      </c>
      <c r="F63" s="62">
        <f t="shared" si="50"/>
        <v>5490142.9012638461</v>
      </c>
      <c r="G63" s="62">
        <f t="shared" ref="G63:M63" si="51">G60+G61+G62</f>
        <v>5481696.4043063717</v>
      </c>
      <c r="H63" s="62">
        <f t="shared" si="51"/>
        <v>5435732.4959294572</v>
      </c>
      <c r="I63" s="62">
        <f t="shared" si="51"/>
        <v>5357878.7878460214</v>
      </c>
      <c r="J63" s="62">
        <f t="shared" si="51"/>
        <v>5252918.7500120401</v>
      </c>
      <c r="K63" s="62">
        <f t="shared" si="51"/>
        <v>5124918.331890096</v>
      </c>
      <c r="L63" s="62">
        <f t="shared" si="51"/>
        <v>4977333.5905233845</v>
      </c>
      <c r="M63" s="62">
        <f t="shared" si="51"/>
        <v>1784023.9119425029</v>
      </c>
      <c r="N63" s="62">
        <f t="shared" ref="N63:U63" si="52">N60+N61+N62</f>
        <v>0</v>
      </c>
      <c r="O63" s="62">
        <f t="shared" si="52"/>
        <v>0</v>
      </c>
      <c r="P63" s="62">
        <f t="shared" si="52"/>
        <v>0</v>
      </c>
      <c r="Q63" s="62">
        <f t="shared" si="52"/>
        <v>0</v>
      </c>
      <c r="R63" s="62">
        <f t="shared" si="52"/>
        <v>0</v>
      </c>
      <c r="S63" s="62">
        <f t="shared" si="52"/>
        <v>0</v>
      </c>
      <c r="T63" s="62">
        <f t="shared" si="52"/>
        <v>0</v>
      </c>
      <c r="U63" s="62">
        <f t="shared" si="52"/>
        <v>0</v>
      </c>
      <c r="V63" s="1"/>
      <c r="W63" s="33" t="s">
        <v>104</v>
      </c>
      <c r="X63" s="34"/>
      <c r="Y63" s="1"/>
    </row>
    <row r="64" spans="1:36" ht="3" customHeight="1" x14ac:dyDescent="0.25">
      <c r="A64" s="58"/>
      <c r="B64" s="59"/>
      <c r="C64" s="59"/>
      <c r="D64" s="112"/>
      <c r="E64" s="112"/>
      <c r="F64" s="60"/>
      <c r="G64" s="60"/>
      <c r="H64" s="60"/>
      <c r="I64" s="60"/>
      <c r="J64" s="60"/>
      <c r="K64" s="60"/>
      <c r="L64" s="60"/>
      <c r="M64" s="60"/>
      <c r="N64" s="60"/>
      <c r="O64" s="60"/>
      <c r="P64" s="60"/>
      <c r="Q64" s="60"/>
      <c r="R64" s="60"/>
      <c r="S64" s="60"/>
      <c r="T64" s="60"/>
      <c r="U64" s="60"/>
      <c r="V64" s="1"/>
      <c r="W64" s="33" t="s">
        <v>104</v>
      </c>
      <c r="X64" s="34"/>
      <c r="Y64" s="1"/>
      <c r="Z64" s="1"/>
      <c r="AA64" s="1"/>
      <c r="AB64" s="1"/>
      <c r="AC64" s="1"/>
      <c r="AD64" s="1"/>
      <c r="AE64" s="1"/>
      <c r="AF64" s="1"/>
      <c r="AG64" s="1"/>
      <c r="AH64" s="1"/>
      <c r="AI64" s="1"/>
      <c r="AJ64" s="1"/>
    </row>
    <row r="65" spans="1:36" x14ac:dyDescent="0.25">
      <c r="A65" s="52" t="s">
        <v>23</v>
      </c>
      <c r="B65" s="53" t="s">
        <v>7</v>
      </c>
      <c r="C65" s="53"/>
      <c r="D65" s="113">
        <f t="shared" ref="D65:E65" si="53">$C$19*D60/(1-$C$19)</f>
        <v>789293.63816673949</v>
      </c>
      <c r="E65" s="113">
        <f t="shared" si="53"/>
        <v>710364.27435006562</v>
      </c>
      <c r="F65" s="54">
        <f>$C$19*F60/(1-$C$19)</f>
        <v>631434.91053339164</v>
      </c>
      <c r="G65" s="54">
        <f t="shared" ref="G65:M65" si="54">$C$19*G60/(1-$C$19)</f>
        <v>552505.54671671765</v>
      </c>
      <c r="H65" s="54">
        <f t="shared" si="54"/>
        <v>473576.18290004373</v>
      </c>
      <c r="I65" s="54">
        <f t="shared" si="54"/>
        <v>394646.81908336969</v>
      </c>
      <c r="J65" s="54">
        <f t="shared" si="54"/>
        <v>315717.45526669576</v>
      </c>
      <c r="K65" s="54">
        <f t="shared" si="54"/>
        <v>236788.09145002178</v>
      </c>
      <c r="L65" s="54">
        <f t="shared" si="54"/>
        <v>157858.72763334785</v>
      </c>
      <c r="M65" s="54">
        <f t="shared" si="54"/>
        <v>78929.363816673926</v>
      </c>
      <c r="N65" s="54">
        <f t="shared" ref="N65:U65" si="55">$C$19*N60/(1-$C$19)</f>
        <v>0</v>
      </c>
      <c r="O65" s="54">
        <f t="shared" si="55"/>
        <v>0</v>
      </c>
      <c r="P65" s="54">
        <f t="shared" si="55"/>
        <v>0</v>
      </c>
      <c r="Q65" s="54">
        <f t="shared" si="55"/>
        <v>0</v>
      </c>
      <c r="R65" s="54">
        <f t="shared" si="55"/>
        <v>0</v>
      </c>
      <c r="S65" s="54">
        <f t="shared" si="55"/>
        <v>0</v>
      </c>
      <c r="T65" s="54">
        <f t="shared" si="55"/>
        <v>0</v>
      </c>
      <c r="U65" s="54">
        <f t="shared" si="55"/>
        <v>0</v>
      </c>
      <c r="V65" s="1"/>
      <c r="W65" s="33" t="s">
        <v>101</v>
      </c>
      <c r="X65" s="33" t="s">
        <v>88</v>
      </c>
      <c r="Y65" s="1"/>
      <c r="Z65" s="1"/>
      <c r="AA65" s="1"/>
      <c r="AB65" s="1"/>
      <c r="AC65" s="1"/>
      <c r="AD65" s="1"/>
      <c r="AE65" s="1"/>
      <c r="AF65" s="1"/>
      <c r="AG65" s="1"/>
      <c r="AH65" s="1"/>
      <c r="AI65" s="1"/>
      <c r="AJ65" s="1"/>
    </row>
    <row r="66" spans="1:36" x14ac:dyDescent="0.25">
      <c r="A66" s="52" t="s">
        <v>23</v>
      </c>
      <c r="B66" s="55" t="s">
        <v>93</v>
      </c>
      <c r="C66" s="55"/>
      <c r="D66" s="114">
        <f>$C$19*D45/(1-$C$19)</f>
        <v>1538584.0899936445</v>
      </c>
      <c r="E66" s="114">
        <f t="shared" ref="E66:M66" si="56">+$C$19*E45/(1-$C$19)</f>
        <v>1538584.0899936445</v>
      </c>
      <c r="F66" s="47">
        <f>+$C$19*F45/(1-$C$19)</f>
        <v>1538584.0899936445</v>
      </c>
      <c r="G66" s="47">
        <f t="shared" si="56"/>
        <v>1538584.0899936445</v>
      </c>
      <c r="H66" s="47">
        <f t="shared" si="56"/>
        <v>1538584.089993644</v>
      </c>
      <c r="I66" s="47">
        <f t="shared" si="56"/>
        <v>1538584.089993644</v>
      </c>
      <c r="J66" s="47">
        <f t="shared" si="56"/>
        <v>1538584.089993644</v>
      </c>
      <c r="K66" s="47">
        <f t="shared" si="56"/>
        <v>1538584.089993644</v>
      </c>
      <c r="L66" s="47">
        <f t="shared" si="56"/>
        <v>1538584.0899936438</v>
      </c>
      <c r="M66" s="47">
        <f t="shared" si="56"/>
        <v>1538584.0899936438</v>
      </c>
      <c r="N66" s="47">
        <f t="shared" ref="N66:U66" si="57">+$C$19*N45/(1-$C$19)</f>
        <v>0</v>
      </c>
      <c r="O66" s="47">
        <f t="shared" si="57"/>
        <v>0</v>
      </c>
      <c r="P66" s="47">
        <f t="shared" si="57"/>
        <v>0</v>
      </c>
      <c r="Q66" s="47">
        <f t="shared" si="57"/>
        <v>0</v>
      </c>
      <c r="R66" s="47">
        <f t="shared" si="57"/>
        <v>0</v>
      </c>
      <c r="S66" s="47">
        <f t="shared" si="57"/>
        <v>0</v>
      </c>
      <c r="T66" s="47">
        <f t="shared" si="57"/>
        <v>0</v>
      </c>
      <c r="U66" s="47">
        <f t="shared" si="57"/>
        <v>0</v>
      </c>
      <c r="V66" s="1"/>
      <c r="W66" s="33" t="s">
        <v>97</v>
      </c>
      <c r="X66" s="33"/>
      <c r="Y66" s="1"/>
      <c r="Z66" s="1"/>
      <c r="AA66" s="1"/>
      <c r="AB66" s="1"/>
      <c r="AC66" s="1"/>
      <c r="AD66" s="1"/>
      <c r="AE66" s="1"/>
      <c r="AF66" s="1"/>
      <c r="AG66" s="1"/>
      <c r="AH66" s="1"/>
      <c r="AI66" s="1"/>
      <c r="AJ66" s="1"/>
    </row>
    <row r="67" spans="1:36" x14ac:dyDescent="0.25">
      <c r="A67" s="52" t="s">
        <v>23</v>
      </c>
      <c r="B67" s="55" t="s">
        <v>5</v>
      </c>
      <c r="C67" s="55"/>
      <c r="D67" s="114">
        <f t="shared" ref="D67:E67" si="58">$C$19*(D50+IF($C$6=$N$2,D57,0))/(1-$C$19)</f>
        <v>-405860.35445080034</v>
      </c>
      <c r="E67" s="114">
        <f t="shared" si="58"/>
        <v>-405860.35445080034</v>
      </c>
      <c r="F67" s="47">
        <f t="shared" ref="F67:M67" si="59">$C$19*(F50+IF($C$6=$N$2,F57,0))/(1-$C$19)</f>
        <v>-405860.35445080034</v>
      </c>
      <c r="G67" s="47">
        <f t="shared" si="59"/>
        <v>-405860.35445080034</v>
      </c>
      <c r="H67" s="47">
        <f t="shared" si="59"/>
        <v>-405860.35445080051</v>
      </c>
      <c r="I67" s="47">
        <f t="shared" si="59"/>
        <v>-405860.35445080069</v>
      </c>
      <c r="J67" s="47">
        <f t="shared" si="59"/>
        <v>-405860.35445080069</v>
      </c>
      <c r="K67" s="47">
        <f t="shared" si="59"/>
        <v>-405860.35445080069</v>
      </c>
      <c r="L67" s="47">
        <f t="shared" si="59"/>
        <v>-405860.35445080086</v>
      </c>
      <c r="M67" s="47">
        <f t="shared" si="59"/>
        <v>-405860.35445080086</v>
      </c>
      <c r="N67" s="47">
        <f t="shared" ref="N67:U67" si="60">$C$19*(N50+IF($C$6=$N$2,N57,0))/(1-$C$19)</f>
        <v>0</v>
      </c>
      <c r="O67" s="47">
        <f t="shared" si="60"/>
        <v>0</v>
      </c>
      <c r="P67" s="47">
        <f t="shared" si="60"/>
        <v>0</v>
      </c>
      <c r="Q67" s="47">
        <f t="shared" si="60"/>
        <v>0</v>
      </c>
      <c r="R67" s="47">
        <f t="shared" si="60"/>
        <v>0</v>
      </c>
      <c r="S67" s="47">
        <f t="shared" si="60"/>
        <v>0</v>
      </c>
      <c r="T67" s="47">
        <f t="shared" si="60"/>
        <v>0</v>
      </c>
      <c r="U67" s="47">
        <f t="shared" si="60"/>
        <v>0</v>
      </c>
      <c r="V67" s="1"/>
      <c r="W67" s="33" t="s">
        <v>97</v>
      </c>
      <c r="X67" s="33"/>
      <c r="Y67" s="1"/>
      <c r="Z67" s="1"/>
      <c r="AA67" s="1"/>
      <c r="AB67" s="1"/>
      <c r="AC67" s="1"/>
      <c r="AD67" s="1"/>
      <c r="AE67" s="1"/>
      <c r="AF67" s="1"/>
      <c r="AG67" s="1"/>
      <c r="AH67" s="1"/>
      <c r="AI67" s="1"/>
      <c r="AJ67" s="1"/>
    </row>
    <row r="68" spans="1:36" x14ac:dyDescent="0.25">
      <c r="A68" s="52" t="s">
        <v>23</v>
      </c>
      <c r="B68" s="55" t="s">
        <v>95</v>
      </c>
      <c r="C68" s="55"/>
      <c r="D68" s="114">
        <f t="shared" ref="D68:M68" si="61">-$C$19*D54/(1-$C$19)</f>
        <v>-2307876.1349904663</v>
      </c>
      <c r="E68" s="114">
        <f t="shared" si="61"/>
        <v>-1961694.7147418966</v>
      </c>
      <c r="F68" s="47">
        <f>-$C$19*F54/(1-$C$19)</f>
        <v>-1667440.5075306124</v>
      </c>
      <c r="G68" s="47">
        <f t="shared" si="61"/>
        <v>-1417324.4314010206</v>
      </c>
      <c r="H68" s="47">
        <f t="shared" si="61"/>
        <v>-1204725.7666908675</v>
      </c>
      <c r="I68" s="47">
        <f t="shared" si="61"/>
        <v>-1024016.9016872373</v>
      </c>
      <c r="J68" s="47">
        <f t="shared" si="61"/>
        <v>-870414.36643415177</v>
      </c>
      <c r="K68" s="47">
        <f t="shared" si="61"/>
        <v>-739852.21146902896</v>
      </c>
      <c r="L68" s="47">
        <f t="shared" si="61"/>
        <v>-628874.37974867458</v>
      </c>
      <c r="M68" s="47">
        <f t="shared" si="61"/>
        <v>-3563621.4852424897</v>
      </c>
      <c r="N68" s="47">
        <f t="shared" ref="N68:U68" si="62">-$C$19*N54/(1-$C$19)</f>
        <v>0</v>
      </c>
      <c r="O68" s="47">
        <f t="shared" si="62"/>
        <v>0</v>
      </c>
      <c r="P68" s="47">
        <f t="shared" si="62"/>
        <v>0</v>
      </c>
      <c r="Q68" s="47">
        <f t="shared" si="62"/>
        <v>0</v>
      </c>
      <c r="R68" s="47">
        <f t="shared" si="62"/>
        <v>0</v>
      </c>
      <c r="S68" s="47">
        <f t="shared" si="62"/>
        <v>0</v>
      </c>
      <c r="T68" s="47">
        <f t="shared" si="62"/>
        <v>0</v>
      </c>
      <c r="U68" s="47">
        <f t="shared" si="62"/>
        <v>0</v>
      </c>
      <c r="V68" s="1"/>
      <c r="W68" s="33" t="s">
        <v>97</v>
      </c>
      <c r="X68" s="33"/>
      <c r="Y68" s="1"/>
      <c r="Z68" s="1"/>
      <c r="AA68" s="1"/>
      <c r="AB68" s="1"/>
      <c r="AC68" s="1"/>
      <c r="AD68" s="1"/>
      <c r="AE68" s="1"/>
      <c r="AF68" s="1"/>
      <c r="AG68" s="1"/>
      <c r="AH68" s="1"/>
      <c r="AI68" s="1"/>
      <c r="AJ68" s="1"/>
    </row>
    <row r="69" spans="1:36" x14ac:dyDescent="0.25">
      <c r="A69" s="52" t="s">
        <v>23</v>
      </c>
      <c r="B69" s="56" t="s">
        <v>18</v>
      </c>
      <c r="C69" s="56"/>
      <c r="D69" s="115">
        <f t="shared" ref="D69:E69" si="63">-$C$19*($C$18*$C$17*D44)/(1-$C$19)</f>
        <v>-233280.11972483635</v>
      </c>
      <c r="E69" s="115">
        <f t="shared" si="63"/>
        <v>-209952.10775235275</v>
      </c>
      <c r="F69" s="57">
        <f>-$C$19*($C$18*$C$17*F44)/(1-$C$19)</f>
        <v>-186624.09577986909</v>
      </c>
      <c r="G69" s="57">
        <f t="shared" ref="G69:M69" si="64">-$C$19*($C$18*$C$17*G44)/(1-$C$19)</f>
        <v>-163296.08380738544</v>
      </c>
      <c r="H69" s="57">
        <f t="shared" si="64"/>
        <v>-139968.07183490178</v>
      </c>
      <c r="I69" s="57">
        <f t="shared" si="64"/>
        <v>-116640.05986241816</v>
      </c>
      <c r="J69" s="57">
        <f t="shared" si="64"/>
        <v>-93312.047889934503</v>
      </c>
      <c r="K69" s="57">
        <f t="shared" si="64"/>
        <v>-69984.035917450892</v>
      </c>
      <c r="L69" s="57">
        <f t="shared" si="64"/>
        <v>-46656.023944967252</v>
      </c>
      <c r="M69" s="57">
        <f t="shared" si="64"/>
        <v>-23328.011972483626</v>
      </c>
      <c r="N69" s="57">
        <f t="shared" ref="N69:U69" si="65">-$C$19*($C$18*$C$17*N44)/(1-$C$19)</f>
        <v>0</v>
      </c>
      <c r="O69" s="57">
        <f t="shared" si="65"/>
        <v>0</v>
      </c>
      <c r="P69" s="57">
        <f t="shared" si="65"/>
        <v>0</v>
      </c>
      <c r="Q69" s="57">
        <f t="shared" si="65"/>
        <v>0</v>
      </c>
      <c r="R69" s="57">
        <f t="shared" si="65"/>
        <v>0</v>
      </c>
      <c r="S69" s="57">
        <f t="shared" si="65"/>
        <v>0</v>
      </c>
      <c r="T69" s="57">
        <f t="shared" si="65"/>
        <v>0</v>
      </c>
      <c r="U69" s="57">
        <f t="shared" si="65"/>
        <v>0</v>
      </c>
      <c r="V69" s="1"/>
      <c r="W69" s="33" t="s">
        <v>99</v>
      </c>
      <c r="X69" s="33"/>
      <c r="Y69" s="1"/>
      <c r="Z69" s="1"/>
      <c r="AA69" s="1"/>
      <c r="AB69" s="1"/>
      <c r="AC69" s="1"/>
      <c r="AD69" s="1"/>
      <c r="AE69" s="1"/>
      <c r="AF69" s="1"/>
      <c r="AG69" s="1"/>
      <c r="AH69" s="1"/>
      <c r="AI69" s="1"/>
      <c r="AJ69" s="1"/>
    </row>
    <row r="70" spans="1:36" ht="3" customHeight="1" x14ac:dyDescent="0.25">
      <c r="A70" s="48"/>
      <c r="B70" s="48"/>
      <c r="C70" s="48"/>
      <c r="D70" s="49"/>
      <c r="E70" s="50"/>
      <c r="F70" s="51"/>
      <c r="G70" s="51"/>
      <c r="H70" s="51"/>
      <c r="I70" s="51"/>
      <c r="J70" s="50"/>
      <c r="K70" s="51"/>
      <c r="L70" s="51"/>
      <c r="M70" s="51"/>
      <c r="N70" s="51"/>
      <c r="O70" s="51"/>
      <c r="P70" s="51"/>
      <c r="Q70" s="51"/>
      <c r="R70" s="51"/>
      <c r="S70" s="51"/>
      <c r="T70" s="51"/>
      <c r="U70" s="51"/>
      <c r="V70" s="1"/>
      <c r="W70" s="33"/>
      <c r="X70" s="1"/>
      <c r="Y70" s="1"/>
    </row>
    <row r="71" spans="1:36" ht="14.25" customHeight="1" x14ac:dyDescent="0.25">
      <c r="A71" s="1"/>
      <c r="B71" s="1"/>
      <c r="C71" s="1"/>
      <c r="D71" s="1"/>
      <c r="E71" s="88"/>
      <c r="F71" s="1"/>
      <c r="G71" s="1"/>
      <c r="H71" s="1"/>
      <c r="I71" s="1"/>
      <c r="J71" s="88"/>
      <c r="K71" s="1"/>
      <c r="L71" s="1"/>
      <c r="M71" s="1"/>
      <c r="N71" s="1"/>
      <c r="O71" s="1"/>
      <c r="P71" s="1"/>
      <c r="Q71" s="1"/>
      <c r="R71" s="1"/>
      <c r="S71" s="1"/>
      <c r="T71" s="1"/>
      <c r="U71" s="1"/>
      <c r="V71" s="1"/>
      <c r="W71" s="33"/>
      <c r="X71" s="1"/>
      <c r="Y71" s="1"/>
      <c r="Z71" s="1"/>
      <c r="AA71" s="1"/>
      <c r="AB71" s="1"/>
      <c r="AC71" s="1"/>
      <c r="AD71" s="1"/>
      <c r="AE71" s="1"/>
      <c r="AF71" s="1"/>
      <c r="AG71" s="1"/>
      <c r="AH71" s="1"/>
      <c r="AI71" s="1"/>
      <c r="AJ71" s="1"/>
    </row>
    <row r="72" spans="1:36" ht="29.25" customHeight="1" x14ac:dyDescent="0.25">
      <c r="A72" s="145" t="s">
        <v>75</v>
      </c>
      <c r="B72" s="145"/>
      <c r="C72" s="22">
        <f>NPV($C$16,$F$63:$U$63)</f>
        <v>31835201.616260149</v>
      </c>
      <c r="D72" s="65"/>
      <c r="E72" s="88"/>
      <c r="F72" s="76"/>
      <c r="G72" s="65"/>
      <c r="H72" s="65"/>
      <c r="I72" s="65"/>
      <c r="J72" s="88"/>
      <c r="K72" s="65"/>
      <c r="L72" s="65"/>
      <c r="M72" s="65"/>
      <c r="N72" s="65"/>
      <c r="O72" s="65"/>
      <c r="P72" s="65"/>
      <c r="Q72" s="65"/>
      <c r="R72" s="65"/>
      <c r="S72" s="65"/>
      <c r="T72" s="65"/>
      <c r="U72" s="65"/>
      <c r="V72" s="1"/>
      <c r="W72" s="33"/>
      <c r="X72" s="34" t="s">
        <v>137</v>
      </c>
      <c r="Y72" s="1"/>
      <c r="Z72" s="1"/>
      <c r="AA72" s="1"/>
      <c r="AB72" s="1"/>
      <c r="AC72" s="1"/>
      <c r="AD72" s="1"/>
      <c r="AE72" s="1"/>
      <c r="AF72" s="1"/>
      <c r="AG72" s="1"/>
      <c r="AH72" s="1"/>
      <c r="AI72" s="1"/>
      <c r="AJ72" s="1"/>
    </row>
    <row r="73" spans="1:36" x14ac:dyDescent="0.25">
      <c r="A73" s="1"/>
      <c r="B73" s="1"/>
      <c r="C73" s="1"/>
      <c r="D73" s="65"/>
      <c r="E73" s="88"/>
      <c r="F73" s="76"/>
      <c r="G73" s="65"/>
      <c r="H73" s="65"/>
      <c r="I73" s="65"/>
      <c r="J73" s="88"/>
      <c r="K73" s="65"/>
      <c r="L73" s="65"/>
      <c r="M73" s="65"/>
      <c r="N73" s="65"/>
      <c r="O73" s="65"/>
      <c r="P73" s="65"/>
      <c r="Q73" s="65"/>
      <c r="R73" s="65"/>
      <c r="S73" s="65"/>
      <c r="T73" s="65"/>
      <c r="U73" s="65"/>
      <c r="V73" s="1"/>
      <c r="W73" s="33"/>
      <c r="X73" s="34"/>
      <c r="Y73" s="1"/>
      <c r="Z73" s="1"/>
      <c r="AA73" s="1"/>
      <c r="AB73" s="1"/>
      <c r="AC73" s="1"/>
      <c r="AD73" s="1"/>
      <c r="AE73" s="1"/>
      <c r="AF73" s="1"/>
      <c r="AG73" s="1"/>
      <c r="AH73" s="1"/>
      <c r="AI73" s="1"/>
      <c r="AJ73" s="1"/>
    </row>
    <row r="74" spans="1:36" ht="18.75" x14ac:dyDescent="0.3">
      <c r="A74" s="15" t="s">
        <v>24</v>
      </c>
      <c r="B74" s="1"/>
      <c r="C74" s="1"/>
      <c r="D74" s="72"/>
      <c r="E74" s="73"/>
      <c r="F74" s="75"/>
      <c r="G74" s="74"/>
      <c r="H74" s="74"/>
      <c r="I74" s="74"/>
      <c r="J74" s="73"/>
      <c r="K74" s="74"/>
      <c r="L74" s="74"/>
      <c r="M74" s="74"/>
      <c r="N74" s="74"/>
      <c r="O74" s="74"/>
      <c r="P74" s="74"/>
      <c r="Q74" s="74"/>
      <c r="R74" s="74"/>
      <c r="S74" s="74"/>
      <c r="T74" s="74"/>
      <c r="U74" s="74"/>
      <c r="V74" s="1"/>
      <c r="W74" s="33"/>
      <c r="X74" s="1"/>
      <c r="Y74" s="1"/>
    </row>
    <row r="75" spans="1:36" x14ac:dyDescent="0.25">
      <c r="A75" s="68" t="s">
        <v>102</v>
      </c>
      <c r="B75" s="66"/>
      <c r="C75" s="66"/>
      <c r="D75" s="108">
        <f t="shared" ref="D75:E75" si="66">$C$16*D44/(1-$C$19)+D45/(1-$C$19)+$C$19*(D50+IF($C$6=$N$2,D57,0)-D54-($C$17*$C$18*D44))/(1-$C$19)</f>
        <v>5366832.419978125</v>
      </c>
      <c r="E75" s="108">
        <f t="shared" si="66"/>
        <v>5454451.2671396276</v>
      </c>
      <c r="F75" s="67">
        <f>$C$16*F44/(1-$C$19)+F45/(1-$C$19)+$C$19*(F50+IF($C$6=$N$2,F57,0)-F54-($C$17*$C$18*F44))/(1-$C$19)</f>
        <v>5490142.9012638461</v>
      </c>
      <c r="G75" s="67">
        <f t="shared" ref="G75:U75" si="67">$C$16*G44/(1-$C$19)+G45/(1-$C$19)+$C$19*(G50+IF($C$6=$N$2,G57,0)-G54-($C$17*$C$18*G44))/(1-$C$19)</f>
        <v>5481696.4043063717</v>
      </c>
      <c r="H75" s="67">
        <f t="shared" si="67"/>
        <v>5435732.4959294582</v>
      </c>
      <c r="I75" s="67">
        <f t="shared" si="67"/>
        <v>5357878.7878460214</v>
      </c>
      <c r="J75" s="67">
        <f t="shared" si="67"/>
        <v>5252918.7500120411</v>
      </c>
      <c r="K75" s="67">
        <f t="shared" si="67"/>
        <v>5124918.3318900969</v>
      </c>
      <c r="L75" s="67">
        <f t="shared" si="67"/>
        <v>4977333.5905233836</v>
      </c>
      <c r="M75" s="67">
        <f t="shared" si="67"/>
        <v>1784023.9119425025</v>
      </c>
      <c r="N75" s="67">
        <f t="shared" si="67"/>
        <v>0</v>
      </c>
      <c r="O75" s="67">
        <f t="shared" si="67"/>
        <v>0</v>
      </c>
      <c r="P75" s="67">
        <f t="shared" si="67"/>
        <v>0</v>
      </c>
      <c r="Q75" s="67">
        <f t="shared" si="67"/>
        <v>0</v>
      </c>
      <c r="R75" s="67">
        <f t="shared" si="67"/>
        <v>0</v>
      </c>
      <c r="S75" s="67">
        <f t="shared" si="67"/>
        <v>0</v>
      </c>
      <c r="T75" s="67">
        <f t="shared" si="67"/>
        <v>0</v>
      </c>
      <c r="U75" s="67">
        <f t="shared" si="67"/>
        <v>0</v>
      </c>
      <c r="V75" s="1"/>
      <c r="W75" s="33" t="s">
        <v>105</v>
      </c>
      <c r="X75" s="33" t="s">
        <v>107</v>
      </c>
      <c r="Y75" s="1"/>
      <c r="Z75" s="1"/>
      <c r="AA75" s="1"/>
      <c r="AB75" s="1"/>
      <c r="AC75" s="1"/>
      <c r="AD75" s="1"/>
      <c r="AE75" s="1"/>
      <c r="AF75" s="1"/>
      <c r="AG75" s="1"/>
      <c r="AH75" s="1"/>
      <c r="AI75" s="1"/>
      <c r="AJ75" s="1"/>
    </row>
    <row r="76" spans="1:36" x14ac:dyDescent="0.25">
      <c r="A76" s="68" t="s">
        <v>96</v>
      </c>
      <c r="B76" s="66"/>
      <c r="C76" s="66"/>
      <c r="D76" s="108">
        <f>-D54</f>
        <v>-5934538.6328326268</v>
      </c>
      <c r="E76" s="108">
        <f t="shared" ref="E76:M76" si="68">-E54</f>
        <v>-5044357.8379077334</v>
      </c>
      <c r="F76" s="67">
        <f t="shared" si="68"/>
        <v>-4287704.1622215742</v>
      </c>
      <c r="G76" s="67">
        <f t="shared" si="68"/>
        <v>-3644548.5378883379</v>
      </c>
      <c r="H76" s="67">
        <f t="shared" si="68"/>
        <v>-3097866.2572050872</v>
      </c>
      <c r="I76" s="67">
        <f t="shared" si="68"/>
        <v>-2633186.3186243242</v>
      </c>
      <c r="J76" s="67">
        <f t="shared" si="68"/>
        <v>-2238208.3708306756</v>
      </c>
      <c r="K76" s="67">
        <f t="shared" si="68"/>
        <v>-1902477.1152060742</v>
      </c>
      <c r="L76" s="67">
        <f t="shared" si="68"/>
        <v>-1617105.5479251631</v>
      </c>
      <c r="M76" s="67">
        <f t="shared" si="68"/>
        <v>-9163598.104909258</v>
      </c>
      <c r="N76" s="67">
        <f t="shared" ref="N76:U76" si="69">-N54</f>
        <v>0</v>
      </c>
      <c r="O76" s="67">
        <f t="shared" si="69"/>
        <v>0</v>
      </c>
      <c r="P76" s="67">
        <f t="shared" si="69"/>
        <v>0</v>
      </c>
      <c r="Q76" s="67">
        <f t="shared" si="69"/>
        <v>0</v>
      </c>
      <c r="R76" s="67">
        <f t="shared" si="69"/>
        <v>0</v>
      </c>
      <c r="S76" s="67">
        <f t="shared" si="69"/>
        <v>0</v>
      </c>
      <c r="T76" s="67">
        <f t="shared" si="69"/>
        <v>0</v>
      </c>
      <c r="U76" s="67">
        <f t="shared" si="69"/>
        <v>0</v>
      </c>
      <c r="V76" s="1"/>
      <c r="W76" s="33" t="s">
        <v>100</v>
      </c>
      <c r="X76" s="34"/>
      <c r="Y76" s="1"/>
      <c r="Z76" s="1"/>
      <c r="AA76" s="1"/>
      <c r="AB76" s="1"/>
      <c r="AC76" s="1"/>
      <c r="AD76" s="1"/>
      <c r="AE76" s="1"/>
      <c r="AF76" s="1"/>
      <c r="AG76" s="1"/>
      <c r="AH76" s="1"/>
      <c r="AI76" s="1"/>
      <c r="AJ76" s="1"/>
    </row>
    <row r="77" spans="1:36" x14ac:dyDescent="0.25">
      <c r="A77" s="68" t="s">
        <v>5</v>
      </c>
      <c r="B77" s="66"/>
      <c r="C77" s="66"/>
      <c r="D77" s="108">
        <f t="shared" ref="D77:U77" si="70">D50+IF($C$6=$N$2,D57,0)</f>
        <v>-1043640.911444915</v>
      </c>
      <c r="E77" s="108">
        <f t="shared" si="70"/>
        <v>-1043640.911444915</v>
      </c>
      <c r="F77" s="67">
        <f t="shared" si="70"/>
        <v>-1043640.911444915</v>
      </c>
      <c r="G77" s="67">
        <f t="shared" si="70"/>
        <v>-1043640.911444915</v>
      </c>
      <c r="H77" s="67">
        <f t="shared" si="70"/>
        <v>-1043640.9114449155</v>
      </c>
      <c r="I77" s="67">
        <f t="shared" si="70"/>
        <v>-1043640.9114449159</v>
      </c>
      <c r="J77" s="67">
        <f t="shared" si="70"/>
        <v>-1043640.9114449159</v>
      </c>
      <c r="K77" s="67">
        <f t="shared" si="70"/>
        <v>-1043640.9114449159</v>
      </c>
      <c r="L77" s="67">
        <f t="shared" si="70"/>
        <v>-1043640.9114449164</v>
      </c>
      <c r="M77" s="67">
        <f t="shared" si="70"/>
        <v>-1043640.9114449164</v>
      </c>
      <c r="N77" s="67">
        <f t="shared" si="70"/>
        <v>0</v>
      </c>
      <c r="O77" s="67">
        <f t="shared" si="70"/>
        <v>0</v>
      </c>
      <c r="P77" s="67">
        <f t="shared" si="70"/>
        <v>0</v>
      </c>
      <c r="Q77" s="67">
        <f t="shared" si="70"/>
        <v>0</v>
      </c>
      <c r="R77" s="67">
        <f t="shared" si="70"/>
        <v>0</v>
      </c>
      <c r="S77" s="67">
        <f t="shared" si="70"/>
        <v>0</v>
      </c>
      <c r="T77" s="67">
        <f t="shared" si="70"/>
        <v>0</v>
      </c>
      <c r="U77" s="67">
        <f t="shared" si="70"/>
        <v>0</v>
      </c>
      <c r="V77" s="1"/>
      <c r="W77" s="33" t="s">
        <v>106</v>
      </c>
      <c r="X77" s="34"/>
      <c r="Y77" s="1"/>
      <c r="Z77" s="1"/>
      <c r="AA77" s="1"/>
      <c r="AB77" s="1"/>
      <c r="AC77" s="1"/>
      <c r="AD77" s="1"/>
      <c r="AE77" s="1"/>
      <c r="AF77" s="1"/>
      <c r="AG77" s="1"/>
      <c r="AH77" s="1"/>
      <c r="AI77" s="1"/>
      <c r="AJ77" s="1"/>
    </row>
    <row r="78" spans="1:36" x14ac:dyDescent="0.25">
      <c r="A78" s="69" t="s">
        <v>6</v>
      </c>
      <c r="B78" s="66"/>
      <c r="C78" s="66"/>
      <c r="D78" s="108">
        <f t="shared" ref="D78:U78" si="71">-($C$18*$C$17*D44)</f>
        <v>-599863.16500672197</v>
      </c>
      <c r="E78" s="108">
        <f t="shared" si="71"/>
        <v>-539876.84850604984</v>
      </c>
      <c r="F78" s="67">
        <f t="shared" si="71"/>
        <v>-479890.53200537758</v>
      </c>
      <c r="G78" s="67">
        <f t="shared" si="71"/>
        <v>-419904.21550470538</v>
      </c>
      <c r="H78" s="67">
        <f t="shared" si="71"/>
        <v>-359917.89900403313</v>
      </c>
      <c r="I78" s="67">
        <f t="shared" si="71"/>
        <v>-299931.58250336093</v>
      </c>
      <c r="J78" s="67">
        <f t="shared" si="71"/>
        <v>-239945.26600268873</v>
      </c>
      <c r="K78" s="67">
        <f t="shared" si="71"/>
        <v>-179958.94950201656</v>
      </c>
      <c r="L78" s="67">
        <f t="shared" si="71"/>
        <v>-119972.63300134435</v>
      </c>
      <c r="M78" s="67">
        <f t="shared" si="71"/>
        <v>-59986.316500672176</v>
      </c>
      <c r="N78" s="67">
        <f t="shared" si="71"/>
        <v>0</v>
      </c>
      <c r="O78" s="67">
        <f t="shared" si="71"/>
        <v>0</v>
      </c>
      <c r="P78" s="67">
        <f t="shared" si="71"/>
        <v>0</v>
      </c>
      <c r="Q78" s="67">
        <f t="shared" si="71"/>
        <v>0</v>
      </c>
      <c r="R78" s="67">
        <f t="shared" si="71"/>
        <v>0</v>
      </c>
      <c r="S78" s="67">
        <f t="shared" si="71"/>
        <v>0</v>
      </c>
      <c r="T78" s="67">
        <f t="shared" si="71"/>
        <v>0</v>
      </c>
      <c r="U78" s="67">
        <f t="shared" si="71"/>
        <v>0</v>
      </c>
      <c r="V78" s="1"/>
      <c r="W78" s="33" t="s">
        <v>99</v>
      </c>
      <c r="X78" s="34"/>
      <c r="Y78" s="1"/>
    </row>
    <row r="79" spans="1:36" x14ac:dyDescent="0.25">
      <c r="A79" s="66"/>
      <c r="B79" s="66"/>
      <c r="C79" s="66"/>
      <c r="D79" s="108"/>
      <c r="E79" s="108"/>
      <c r="F79" s="67"/>
      <c r="G79" s="67"/>
      <c r="H79" s="67"/>
      <c r="I79" s="67"/>
      <c r="J79" s="67"/>
      <c r="K79" s="67"/>
      <c r="L79" s="67"/>
      <c r="M79" s="67"/>
      <c r="N79" s="67"/>
      <c r="O79" s="67"/>
      <c r="P79" s="67"/>
      <c r="Q79" s="67"/>
      <c r="R79" s="67"/>
      <c r="S79" s="67"/>
      <c r="T79" s="67"/>
      <c r="U79" s="67"/>
      <c r="V79" s="1"/>
      <c r="W79" s="33"/>
      <c r="X79" s="1"/>
      <c r="Y79" s="1"/>
      <c r="Z79" s="1"/>
      <c r="AA79" s="1"/>
      <c r="AB79" s="1"/>
      <c r="AC79" s="1"/>
      <c r="AD79" s="1"/>
      <c r="AE79" s="1"/>
      <c r="AF79" s="1"/>
      <c r="AG79" s="1"/>
      <c r="AH79" s="1"/>
      <c r="AI79" s="1"/>
      <c r="AJ79" s="1"/>
    </row>
    <row r="80" spans="1:36" x14ac:dyDescent="0.25">
      <c r="A80" s="69" t="s">
        <v>61</v>
      </c>
      <c r="B80" s="66"/>
      <c r="C80" s="66"/>
      <c r="D80" s="108">
        <f t="shared" ref="D80:E80" si="72">SUM(D75:D78)</f>
        <v>-2211210.2893061386</v>
      </c>
      <c r="E80" s="108">
        <f t="shared" si="72"/>
        <v>-1173424.3307190705</v>
      </c>
      <c r="F80" s="67">
        <f>SUM(F75:F78)</f>
        <v>-321092.70440802071</v>
      </c>
      <c r="G80" s="67">
        <f t="shared" ref="G80:U80" si="73">SUM(G75:G78)</f>
        <v>373602.73946841346</v>
      </c>
      <c r="H80" s="67">
        <f t="shared" si="73"/>
        <v>934307.42827542243</v>
      </c>
      <c r="I80" s="67">
        <f t="shared" si="73"/>
        <v>1381119.9752734203</v>
      </c>
      <c r="J80" s="67">
        <f t="shared" si="73"/>
        <v>1731124.2017337608</v>
      </c>
      <c r="K80" s="67">
        <f t="shared" si="73"/>
        <v>1998841.3557370903</v>
      </c>
      <c r="L80" s="67">
        <f t="shared" si="73"/>
        <v>2196614.4981519599</v>
      </c>
      <c r="M80" s="67">
        <f t="shared" si="73"/>
        <v>-8483201.4209123459</v>
      </c>
      <c r="N80" s="67">
        <f t="shared" si="73"/>
        <v>0</v>
      </c>
      <c r="O80" s="67">
        <f t="shared" si="73"/>
        <v>0</v>
      </c>
      <c r="P80" s="67">
        <f t="shared" si="73"/>
        <v>0</v>
      </c>
      <c r="Q80" s="67">
        <f t="shared" si="73"/>
        <v>0</v>
      </c>
      <c r="R80" s="67">
        <f t="shared" si="73"/>
        <v>0</v>
      </c>
      <c r="S80" s="67">
        <f t="shared" si="73"/>
        <v>0</v>
      </c>
      <c r="T80" s="67">
        <f t="shared" si="73"/>
        <v>0</v>
      </c>
      <c r="U80" s="67">
        <f t="shared" si="73"/>
        <v>0</v>
      </c>
      <c r="V80" s="1"/>
      <c r="W80" s="33" t="s">
        <v>98</v>
      </c>
      <c r="X80" s="34" t="s">
        <v>125</v>
      </c>
      <c r="Y80" s="1"/>
      <c r="Z80" s="1"/>
      <c r="AA80" s="1"/>
      <c r="AB80" s="1"/>
      <c r="AC80" s="1"/>
      <c r="AD80" s="1"/>
      <c r="AE80" s="1"/>
      <c r="AF80" s="1"/>
      <c r="AG80" s="1"/>
      <c r="AH80" s="1"/>
      <c r="AI80" s="1"/>
      <c r="AJ80" s="1"/>
    </row>
    <row r="81" spans="1:36" x14ac:dyDescent="0.25">
      <c r="A81" s="66"/>
      <c r="B81" s="66"/>
      <c r="C81" s="66"/>
      <c r="D81" s="108"/>
      <c r="E81" s="108"/>
      <c r="F81" s="67"/>
      <c r="G81" s="67"/>
      <c r="H81" s="67"/>
      <c r="I81" s="67"/>
      <c r="J81" s="67"/>
      <c r="K81" s="67"/>
      <c r="L81" s="67"/>
      <c r="M81" s="67"/>
      <c r="N81" s="67"/>
      <c r="O81" s="67"/>
      <c r="P81" s="67"/>
      <c r="Q81" s="67"/>
      <c r="R81" s="67"/>
      <c r="S81" s="67"/>
      <c r="T81" s="67"/>
      <c r="U81" s="67"/>
      <c r="V81" s="1"/>
      <c r="W81" s="33"/>
      <c r="X81" s="1"/>
      <c r="Y81" s="1"/>
      <c r="Z81" s="1"/>
      <c r="AA81" s="1"/>
      <c r="AB81" s="1"/>
      <c r="AC81" s="1"/>
      <c r="AD81" s="1"/>
      <c r="AE81" s="1"/>
      <c r="AF81" s="1"/>
      <c r="AG81" s="1"/>
      <c r="AH81" s="1"/>
      <c r="AI81" s="1"/>
      <c r="AJ81" s="1"/>
    </row>
    <row r="82" spans="1:36" x14ac:dyDescent="0.25">
      <c r="A82" s="68" t="s">
        <v>58</v>
      </c>
      <c r="B82" s="66"/>
      <c r="C82" s="66"/>
      <c r="D82" s="109">
        <f t="shared" ref="D82:F82" si="74">$C$19*D80</f>
        <v>-619138.88100571884</v>
      </c>
      <c r="E82" s="109">
        <f t="shared" si="74"/>
        <v>-328558.81260133977</v>
      </c>
      <c r="F82" s="70">
        <f t="shared" si="74"/>
        <v>-89905.957234245812</v>
      </c>
      <c r="G82" s="70">
        <f t="shared" ref="G82:M82" si="75">$C$19*G80</f>
        <v>104608.76705115578</v>
      </c>
      <c r="H82" s="70">
        <f t="shared" si="75"/>
        <v>261606.0799171183</v>
      </c>
      <c r="I82" s="70">
        <f t="shared" si="75"/>
        <v>386713.59307655774</v>
      </c>
      <c r="J82" s="70">
        <f t="shared" si="75"/>
        <v>484714.77648545307</v>
      </c>
      <c r="K82" s="70">
        <f t="shared" si="75"/>
        <v>559675.57960638532</v>
      </c>
      <c r="L82" s="70">
        <f t="shared" si="75"/>
        <v>615052.05948254885</v>
      </c>
      <c r="M82" s="70">
        <f t="shared" si="75"/>
        <v>-2375296.3978554569</v>
      </c>
      <c r="N82" s="70">
        <f t="shared" ref="N82:U82" si="76">$C$19*N80</f>
        <v>0</v>
      </c>
      <c r="O82" s="70">
        <f t="shared" si="76"/>
        <v>0</v>
      </c>
      <c r="P82" s="70">
        <f t="shared" si="76"/>
        <v>0</v>
      </c>
      <c r="Q82" s="70">
        <f t="shared" si="76"/>
        <v>0</v>
      </c>
      <c r="R82" s="70">
        <f t="shared" si="76"/>
        <v>0</v>
      </c>
      <c r="S82" s="70">
        <f t="shared" si="76"/>
        <v>0</v>
      </c>
      <c r="T82" s="70">
        <f t="shared" si="76"/>
        <v>0</v>
      </c>
      <c r="U82" s="70">
        <f t="shared" si="76"/>
        <v>0</v>
      </c>
      <c r="V82" s="1"/>
      <c r="W82" s="33" t="s">
        <v>106</v>
      </c>
      <c r="X82" s="34" t="s">
        <v>126</v>
      </c>
      <c r="Y82" s="1"/>
    </row>
    <row r="83" spans="1:36" x14ac:dyDescent="0.25">
      <c r="A83" s="98" t="s">
        <v>51</v>
      </c>
      <c r="B83" s="31"/>
      <c r="C83" s="31"/>
      <c r="D83" s="107">
        <f t="shared" ref="D83:U83" si="77">D82-D62</f>
        <v>0</v>
      </c>
      <c r="E83" s="107">
        <f t="shared" si="77"/>
        <v>0</v>
      </c>
      <c r="F83" s="32">
        <f t="shared" si="77"/>
        <v>-2.3283064365386963E-10</v>
      </c>
      <c r="G83" s="32">
        <f t="shared" si="77"/>
        <v>2.4738255888223648E-10</v>
      </c>
      <c r="H83" s="32">
        <f t="shared" si="77"/>
        <v>3.2014213502407074E-10</v>
      </c>
      <c r="I83" s="32">
        <f t="shared" si="77"/>
        <v>0</v>
      </c>
      <c r="J83" s="32">
        <f t="shared" si="77"/>
        <v>0</v>
      </c>
      <c r="K83" s="32">
        <f t="shared" si="77"/>
        <v>0</v>
      </c>
      <c r="L83" s="32">
        <f t="shared" si="77"/>
        <v>0</v>
      </c>
      <c r="M83" s="32">
        <f t="shared" si="77"/>
        <v>0</v>
      </c>
      <c r="N83" s="32">
        <f t="shared" si="77"/>
        <v>0</v>
      </c>
      <c r="O83" s="32">
        <f t="shared" si="77"/>
        <v>0</v>
      </c>
      <c r="P83" s="32">
        <f t="shared" si="77"/>
        <v>0</v>
      </c>
      <c r="Q83" s="32">
        <f t="shared" si="77"/>
        <v>0</v>
      </c>
      <c r="R83" s="32">
        <f t="shared" si="77"/>
        <v>0</v>
      </c>
      <c r="S83" s="32">
        <f t="shared" si="77"/>
        <v>0</v>
      </c>
      <c r="T83" s="32">
        <f t="shared" si="77"/>
        <v>0</v>
      </c>
      <c r="U83" s="32">
        <f t="shared" si="77"/>
        <v>0</v>
      </c>
      <c r="V83" s="1"/>
      <c r="W83" s="33"/>
      <c r="X83" s="34" t="s">
        <v>89</v>
      </c>
      <c r="Y83" s="1"/>
    </row>
    <row r="84" spans="1:36" x14ac:dyDescent="0.25">
      <c r="A84" s="1"/>
      <c r="B84" s="1"/>
      <c r="C84" s="1"/>
      <c r="D84" s="1"/>
      <c r="E84" s="43"/>
      <c r="F84" s="1"/>
      <c r="G84" s="1"/>
      <c r="H84" s="1"/>
      <c r="I84" s="1"/>
      <c r="J84" s="43"/>
      <c r="K84" s="1"/>
      <c r="L84" s="1"/>
      <c r="M84" s="1"/>
      <c r="N84" s="1"/>
      <c r="O84" s="43"/>
      <c r="P84" s="1"/>
      <c r="Q84" s="1"/>
      <c r="R84" s="1"/>
      <c r="S84" s="1"/>
      <c r="T84" s="43"/>
      <c r="U84" s="1"/>
      <c r="V84" s="1"/>
      <c r="W84" s="1"/>
      <c r="X84" s="1"/>
      <c r="Y84" s="1"/>
      <c r="Z84" s="1"/>
      <c r="AA84" s="1"/>
      <c r="AB84" s="1"/>
      <c r="AC84" s="1"/>
      <c r="AD84" s="1"/>
      <c r="AE84" s="1"/>
      <c r="AF84" s="1"/>
      <c r="AG84" s="1"/>
      <c r="AH84" s="1"/>
      <c r="AI84" s="1"/>
      <c r="AJ84" s="1"/>
    </row>
    <row r="85" spans="1:36" ht="34.5" customHeight="1" x14ac:dyDescent="0.4">
      <c r="A85" s="81" t="s">
        <v>29</v>
      </c>
      <c r="B85" s="1"/>
      <c r="C85" s="1"/>
      <c r="D85" s="1"/>
      <c r="E85" s="43"/>
      <c r="F85" s="1"/>
      <c r="G85" s="1"/>
      <c r="H85" s="1"/>
      <c r="I85" s="1"/>
      <c r="J85" s="43"/>
      <c r="K85" s="1"/>
      <c r="L85" s="1"/>
      <c r="M85" s="1"/>
      <c r="N85" s="1"/>
      <c r="O85" s="43"/>
      <c r="P85" s="1"/>
      <c r="Q85" s="1"/>
      <c r="R85" s="1"/>
      <c r="S85" s="1"/>
      <c r="T85" s="43"/>
      <c r="U85" s="1"/>
      <c r="V85" s="1"/>
      <c r="W85" s="33"/>
      <c r="X85" s="34"/>
      <c r="Y85" s="1"/>
      <c r="Z85" s="1"/>
      <c r="AA85" s="1"/>
      <c r="AB85" s="1"/>
      <c r="AC85" s="1"/>
      <c r="AD85" s="1"/>
      <c r="AE85" s="1"/>
      <c r="AF85" s="1"/>
      <c r="AG85" s="1"/>
      <c r="AH85" s="1"/>
      <c r="AI85" s="1"/>
      <c r="AJ85" s="1"/>
    </row>
    <row r="86" spans="1:36" ht="26.25" customHeight="1" x14ac:dyDescent="0.25">
      <c r="A86" s="83" t="s">
        <v>30</v>
      </c>
      <c r="B86" s="1"/>
      <c r="C86" s="1"/>
      <c r="D86" s="1"/>
      <c r="E86" s="43"/>
      <c r="F86" s="1"/>
      <c r="G86" s="1"/>
      <c r="H86" s="1"/>
      <c r="I86" s="1"/>
      <c r="J86" s="43"/>
      <c r="K86" s="1"/>
      <c r="L86" s="1"/>
      <c r="M86" s="1"/>
      <c r="N86" s="1"/>
      <c r="O86" s="43"/>
      <c r="P86" s="1"/>
      <c r="Q86" s="1"/>
      <c r="R86" s="1"/>
      <c r="S86" s="1"/>
      <c r="T86" s="43"/>
      <c r="U86" s="1"/>
      <c r="V86" s="1"/>
      <c r="W86" s="33"/>
      <c r="X86" s="34"/>
      <c r="Y86" s="1"/>
      <c r="Z86" s="1"/>
      <c r="AA86" s="1"/>
      <c r="AB86" s="1"/>
      <c r="AC86" s="1"/>
      <c r="AD86" s="1"/>
      <c r="AE86" s="1"/>
      <c r="AF86" s="1"/>
      <c r="AG86" s="1"/>
      <c r="AH86" s="1"/>
      <c r="AI86" s="1"/>
      <c r="AJ86" s="1"/>
    </row>
    <row r="87" spans="1:36" ht="18.75" x14ac:dyDescent="0.3">
      <c r="A87" s="15" t="s">
        <v>40</v>
      </c>
      <c r="B87" s="1"/>
      <c r="C87" s="1"/>
      <c r="D87" s="1"/>
      <c r="E87" s="43"/>
      <c r="F87" s="1"/>
      <c r="G87" s="1"/>
      <c r="H87" s="1"/>
      <c r="I87" s="1"/>
      <c r="J87" s="43"/>
      <c r="K87" s="1"/>
      <c r="L87" s="1"/>
      <c r="M87" s="1"/>
      <c r="N87" s="1"/>
      <c r="O87" s="43"/>
      <c r="P87" s="1"/>
      <c r="Q87" s="1"/>
      <c r="R87" s="1"/>
      <c r="S87" s="1"/>
      <c r="T87" s="43"/>
      <c r="U87" s="1"/>
      <c r="V87" s="1"/>
      <c r="W87" s="33"/>
      <c r="X87" s="34"/>
      <c r="Y87" s="1"/>
      <c r="Z87" s="1"/>
      <c r="AA87" s="1"/>
      <c r="AB87" s="1"/>
      <c r="AC87" s="1"/>
      <c r="AD87" s="1"/>
      <c r="AE87" s="1"/>
      <c r="AF87" s="1"/>
      <c r="AG87" s="1"/>
      <c r="AH87" s="1"/>
      <c r="AI87" s="1"/>
      <c r="AJ87" s="1"/>
    </row>
    <row r="88" spans="1:36" x14ac:dyDescent="0.25">
      <c r="A88" s="16" t="s">
        <v>75</v>
      </c>
      <c r="B88" s="22"/>
      <c r="C88" s="22">
        <f>C72</f>
        <v>31835201.616260149</v>
      </c>
      <c r="D88" s="1"/>
      <c r="E88" s="43"/>
      <c r="F88" s="1"/>
      <c r="G88" s="1"/>
      <c r="H88" s="1"/>
      <c r="I88" s="1"/>
      <c r="J88" s="43"/>
      <c r="K88" s="1"/>
      <c r="L88" s="1"/>
      <c r="M88" s="1"/>
      <c r="N88" s="1"/>
      <c r="O88" s="43"/>
      <c r="P88" s="2"/>
      <c r="Q88" s="2"/>
      <c r="R88" s="2"/>
      <c r="S88" s="2"/>
      <c r="T88" s="43"/>
      <c r="U88" s="1"/>
      <c r="V88" s="1"/>
      <c r="W88" s="33"/>
      <c r="X88" s="34" t="s">
        <v>90</v>
      </c>
      <c r="Y88" s="1"/>
    </row>
    <row r="89" spans="1:36" x14ac:dyDescent="0.25">
      <c r="A89" s="16" t="s">
        <v>67</v>
      </c>
      <c r="B89" s="22"/>
      <c r="C89" s="22">
        <f>C32</f>
        <v>32146917.528188027</v>
      </c>
      <c r="D89" s="23"/>
      <c r="E89" s="43"/>
      <c r="F89" s="1"/>
      <c r="G89" s="1"/>
      <c r="H89" s="1"/>
      <c r="I89" s="1"/>
      <c r="J89" s="43"/>
      <c r="K89" s="1"/>
      <c r="L89" s="1"/>
      <c r="M89" s="1"/>
      <c r="N89" s="1"/>
      <c r="O89" s="43"/>
      <c r="P89" s="2"/>
      <c r="Q89" s="2"/>
      <c r="R89" s="2"/>
      <c r="S89" s="2"/>
      <c r="T89" s="43"/>
      <c r="U89" s="1"/>
      <c r="V89" s="1"/>
      <c r="W89" s="33"/>
      <c r="X89" s="34" t="s">
        <v>91</v>
      </c>
      <c r="Y89" s="1"/>
      <c r="Z89" s="1"/>
      <c r="AA89" s="1"/>
      <c r="AB89" s="1"/>
      <c r="AC89" s="1"/>
      <c r="AD89" s="1"/>
      <c r="AE89" s="1"/>
      <c r="AF89" s="1"/>
      <c r="AG89" s="1"/>
      <c r="AH89" s="1"/>
      <c r="AI89" s="1"/>
      <c r="AJ89" s="1"/>
    </row>
    <row r="90" spans="1:36" x14ac:dyDescent="0.25">
      <c r="A90" s="16" t="s">
        <v>14</v>
      </c>
      <c r="B90" s="28"/>
      <c r="C90" s="99">
        <f>C88/C89</f>
        <v>0.99030339653391186</v>
      </c>
      <c r="D90" s="1"/>
      <c r="E90" s="43"/>
      <c r="F90" s="1"/>
      <c r="G90" s="1"/>
      <c r="H90" s="1"/>
      <c r="I90" s="1"/>
      <c r="J90" s="43"/>
      <c r="K90" s="1"/>
      <c r="L90" s="1"/>
      <c r="M90" s="1"/>
      <c r="N90" s="1"/>
      <c r="O90" s="43"/>
      <c r="P90" s="2"/>
      <c r="Q90" s="2"/>
      <c r="R90" s="2"/>
      <c r="S90" s="2"/>
      <c r="T90" s="43"/>
      <c r="U90" s="1"/>
      <c r="V90" s="1"/>
      <c r="W90" s="33"/>
      <c r="Y90" s="1"/>
      <c r="Z90" s="1"/>
      <c r="AA90" s="1"/>
      <c r="AB90" s="1"/>
      <c r="AC90" s="1"/>
      <c r="AD90" s="1"/>
      <c r="AE90" s="1"/>
      <c r="AF90" s="1"/>
      <c r="AG90" s="1"/>
      <c r="AH90" s="1"/>
      <c r="AI90" s="1"/>
      <c r="AJ90" s="1"/>
    </row>
    <row r="91" spans="1:36" x14ac:dyDescent="0.25">
      <c r="A91" s="1"/>
      <c r="B91" s="1"/>
      <c r="C91" s="1"/>
      <c r="D91" s="1"/>
      <c r="E91" s="43"/>
      <c r="F91" s="1"/>
      <c r="G91" s="1"/>
      <c r="H91" s="1"/>
      <c r="I91" s="1"/>
      <c r="J91" s="43"/>
      <c r="K91" s="1"/>
      <c r="L91" s="1"/>
      <c r="M91" s="1"/>
      <c r="N91" s="1"/>
      <c r="O91" s="43"/>
      <c r="P91" s="2"/>
      <c r="Q91" s="2"/>
      <c r="R91" s="2"/>
      <c r="S91" s="2"/>
      <c r="T91" s="43"/>
      <c r="U91" s="1"/>
      <c r="V91" s="1"/>
      <c r="W91" s="1"/>
      <c r="X91" s="1"/>
      <c r="Y91" s="1"/>
    </row>
    <row r="92" spans="1:3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x14ac:dyDescent="0.25">
      <c r="B93" s="1"/>
      <c r="N93" s="1"/>
      <c r="O93" s="1"/>
      <c r="P93" s="1"/>
      <c r="Q93" s="1"/>
      <c r="R93" s="1"/>
      <c r="S93" s="1"/>
      <c r="T93" s="1"/>
      <c r="W93" s="1"/>
    </row>
  </sheetData>
  <sheetProtection formatColumns="0" formatRows="0"/>
  <mergeCells count="2">
    <mergeCell ref="A30:B30"/>
    <mergeCell ref="A72:B72"/>
  </mergeCells>
  <dataValidations count="4">
    <dataValidation type="list" allowBlank="1" showInputMessage="1" showErrorMessage="1" sqref="C7" xr:uid="{D3B5711B-4856-44B8-9649-B7E2809FE874}">
      <formula1>$D$25:$E$25</formula1>
    </dataValidation>
    <dataValidation type="list" allowBlank="1" showInputMessage="1" showErrorMessage="1" sqref="C7" xr:uid="{AA582ECE-A665-43CB-9DB1-CDF9377BC302}">
      <formula1>$O$2:$O$2</formula1>
    </dataValidation>
    <dataValidation type="list" allowBlank="1" showInputMessage="1" showErrorMessage="1" sqref="C6" xr:uid="{27F43869-805A-4519-A733-778307D96691}">
      <formula1>$N$2:$O$2</formula1>
    </dataValidation>
    <dataValidation allowBlank="1" showInputMessage="1" showErrorMessage="1" sqref="C8 C10:C15" xr:uid="{205003FF-9101-41EA-B89A-0BAD6740F801}"/>
  </dataValidations>
  <pageMargins left="0.70866141732283472" right="0.70866141732283472" top="0.74803149606299213" bottom="0.74803149606299213" header="0.31496062992125984" footer="0.31496062992125984"/>
  <pageSetup paperSize="9" scale="24"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CoverSheet</vt:lpstr>
      <vt:lpstr>Table of Contents</vt:lpstr>
      <vt:lpstr>Description</vt:lpstr>
      <vt:lpstr>Equivalence calculations</vt:lpstr>
      <vt:lpstr>CoverSheet!Print_Area</vt:lpstr>
      <vt:lpstr>'Equivalence calculations'!Print_Area</vt:lpstr>
      <vt:lpstr>'Table of 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2019-07-02T05:07:35Z</dcterms:created>
  <dcterms:modified xsi:type="dcterms:W3CDTF">2019-07-02T05:53:36Z</dcterms:modified>
</cp:coreProperties>
</file>