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printerSettings/printerSettings6.bin" ContentType="application/vnd.openxmlformats-officedocument.spreadsheetml.printerSettings"/>
  <Override PartName="/xl/drawings/drawing6.xml" ContentType="application/vnd.openxmlformats-officedocument.drawing+xml"/>
  <Override PartName="/xl/printerSettings/printerSettings7.bin" ContentType="application/vnd.openxmlformats-officedocument.spreadsheetml.printerSettings"/>
  <Override PartName="/xl/drawings/drawing7.xml" ContentType="application/vnd.openxmlformats-officedocument.drawing+xml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0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1.xml" ContentType="application/vnd.openxmlformats-officedocument.drawing+xml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0" windowWidth="15450" windowHeight="5850" tabRatio="752" firstSheet="9" activeTab="16"/>
  </bookViews>
  <sheets>
    <sheet name="Model Map" sheetId="16" r:id="rId1"/>
    <sheet name="Pricing_and_Revenue4yr7 target " sheetId="34" r:id="rId2"/>
    <sheet name="FY 15 price breakdown" sheetId="38" r:id="rId3"/>
    <sheet name="Volume &amp; CPI forecast" sheetId="2" r:id="rId4"/>
    <sheet name="Opex" sheetId="6" r:id="rId5"/>
    <sheet name="09-12 revaluation booked income" sheetId="9" r:id="rId6"/>
    <sheet name="Asset base" sheetId="8" r:id="rId7"/>
    <sheet name="WACC" sheetId="10" r:id="rId8"/>
    <sheet name="AIRFIELD" sheetId="11" r:id="rId9"/>
    <sheet name="TERM INTER" sheetId="12" r:id="rId10"/>
    <sheet name="TERM DOM - JET" sheetId="13" r:id="rId11"/>
    <sheet name="TERM DOM" sheetId="14" r:id="rId12"/>
    <sheet name="BARNZ Airfield" sheetId="39" r:id="rId13"/>
    <sheet name="BARNZ int term" sheetId="40" r:id="rId14"/>
    <sheet name="BARNZ DJ term" sheetId="41" r:id="rId15"/>
    <sheet name="BARNZ TP term" sheetId="42" r:id="rId16"/>
    <sheet name="BARNZ total" sheetId="4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MatInverse_In" localSheetId="5" hidden="1">'[1]#REF'!#REF!</definedName>
    <definedName name="_MatInverse_In" localSheetId="8" hidden="1">'[1]#REF'!#REF!</definedName>
    <definedName name="_MatInverse_In" localSheetId="6" hidden="1">'[1]#REF'!#REF!</definedName>
    <definedName name="_MatInverse_In" localSheetId="4" hidden="1">'[1]#REF'!#REF!</definedName>
    <definedName name="_MatInverse_In" localSheetId="1" hidden="1">'[1]#REF'!#REF!</definedName>
    <definedName name="_MatInverse_In" localSheetId="11" hidden="1">'[1]#REF'!#REF!</definedName>
    <definedName name="_MatInverse_In" localSheetId="10" hidden="1">'[1]#REF'!#REF!</definedName>
    <definedName name="_MatInverse_In" localSheetId="9" hidden="1">'[1]#REF'!#REF!</definedName>
    <definedName name="_MatInverse_In" localSheetId="3" hidden="1">'[1]#REF'!#REF!</definedName>
    <definedName name="_MatInverse_In" localSheetId="7" hidden="1">'[1]#REF'!#REF!</definedName>
    <definedName name="_MatInverse_In" hidden="1">'[1]#REF'!#REF!</definedName>
    <definedName name="_MatInverse_Out" localSheetId="5" hidden="1">'[1]#REF'!#REF!</definedName>
    <definedName name="_MatInverse_Out" localSheetId="8" hidden="1">'[1]#REF'!#REF!</definedName>
    <definedName name="_MatInverse_Out" localSheetId="6" hidden="1">'[1]#REF'!#REF!</definedName>
    <definedName name="_MatInverse_Out" localSheetId="4" hidden="1">'[1]#REF'!#REF!</definedName>
    <definedName name="_MatInverse_Out" localSheetId="1" hidden="1">'[1]#REF'!#REF!</definedName>
    <definedName name="_MatInverse_Out" localSheetId="11" hidden="1">'[1]#REF'!#REF!</definedName>
    <definedName name="_MatInverse_Out" localSheetId="10" hidden="1">'[1]#REF'!#REF!</definedName>
    <definedName name="_MatInverse_Out" localSheetId="9" hidden="1">'[1]#REF'!#REF!</definedName>
    <definedName name="_MatInverse_Out" localSheetId="3" hidden="1">'[1]#REF'!#REF!</definedName>
    <definedName name="_MatInverse_Out" localSheetId="7" hidden="1">'[1]#REF'!#REF!</definedName>
    <definedName name="_MatInverse_Out" hidden="1">'[1]#REF'!#REF!</definedName>
    <definedName name="_MatMult_A" localSheetId="5" hidden="1">'[1]#REF'!#REF!</definedName>
    <definedName name="_MatMult_A" localSheetId="8" hidden="1">'[1]#REF'!#REF!</definedName>
    <definedName name="_MatMult_A" localSheetId="6" hidden="1">'[1]#REF'!#REF!</definedName>
    <definedName name="_MatMult_A" localSheetId="4" hidden="1">'[1]#REF'!#REF!</definedName>
    <definedName name="_MatMult_A" localSheetId="1" hidden="1">'[1]#REF'!#REF!</definedName>
    <definedName name="_MatMult_A" localSheetId="11" hidden="1">'[1]#REF'!#REF!</definedName>
    <definedName name="_MatMult_A" localSheetId="10" hidden="1">'[1]#REF'!#REF!</definedName>
    <definedName name="_MatMult_A" localSheetId="9" hidden="1">'[1]#REF'!#REF!</definedName>
    <definedName name="_MatMult_A" localSheetId="3" hidden="1">'[1]#REF'!#REF!</definedName>
    <definedName name="_MatMult_A" localSheetId="7" hidden="1">'[1]#REF'!#REF!</definedName>
    <definedName name="_MatMult_A" hidden="1">'[1]#REF'!#REF!</definedName>
    <definedName name="_MatMult_AxB" localSheetId="5" hidden="1">'[1]#REF'!#REF!</definedName>
    <definedName name="_MatMult_AxB" localSheetId="8" hidden="1">'[1]#REF'!#REF!</definedName>
    <definedName name="_MatMult_AxB" localSheetId="6" hidden="1">'[1]#REF'!#REF!</definedName>
    <definedName name="_MatMult_AxB" localSheetId="4" hidden="1">'[1]#REF'!#REF!</definedName>
    <definedName name="_MatMult_AxB" localSheetId="1" hidden="1">'[1]#REF'!#REF!</definedName>
    <definedName name="_MatMult_AxB" localSheetId="11" hidden="1">'[1]#REF'!#REF!</definedName>
    <definedName name="_MatMult_AxB" localSheetId="10" hidden="1">'[1]#REF'!#REF!</definedName>
    <definedName name="_MatMult_AxB" localSheetId="9" hidden="1">'[1]#REF'!#REF!</definedName>
    <definedName name="_MatMult_AxB" localSheetId="3" hidden="1">'[1]#REF'!#REF!</definedName>
    <definedName name="_MatMult_AxB" localSheetId="7" hidden="1">'[1]#REF'!#REF!</definedName>
    <definedName name="_MatMult_AxB" hidden="1">'[1]#REF'!#REF!</definedName>
    <definedName name="_MatMult_B" localSheetId="5" hidden="1">'[1]#REF'!#REF!</definedName>
    <definedName name="_MatMult_B" localSheetId="8" hidden="1">'[1]#REF'!#REF!</definedName>
    <definedName name="_MatMult_B" localSheetId="6" hidden="1">'[1]#REF'!#REF!</definedName>
    <definedName name="_MatMult_B" localSheetId="4" hidden="1">'[1]#REF'!#REF!</definedName>
    <definedName name="_MatMult_B" localSheetId="1" hidden="1">'[1]#REF'!#REF!</definedName>
    <definedName name="_MatMult_B" localSheetId="11" hidden="1">'[1]#REF'!#REF!</definedName>
    <definedName name="_MatMult_B" localSheetId="10" hidden="1">'[1]#REF'!#REF!</definedName>
    <definedName name="_MatMult_B" localSheetId="9" hidden="1">'[1]#REF'!#REF!</definedName>
    <definedName name="_MatMult_B" localSheetId="3" hidden="1">'[1]#REF'!#REF!</definedName>
    <definedName name="_MatMult_B" localSheetId="7" hidden="1">'[1]#REF'!#REF!</definedName>
    <definedName name="_MatMult_B" hidden="1">'[1]#REF'!#REF!</definedName>
    <definedName name="CAP_INT_SEL">[2]CONTROL!$G$110:$G$112</definedName>
    <definedName name="dd" localSheetId="5" hidden="1">'[1]#REF'!#REF!</definedName>
    <definedName name="dd" localSheetId="8" hidden="1">'[1]#REF'!#REF!</definedName>
    <definedName name="dd" localSheetId="6" hidden="1">'[1]#REF'!#REF!</definedName>
    <definedName name="dd" localSheetId="4" hidden="1">'[1]#REF'!#REF!</definedName>
    <definedName name="dd" localSheetId="1" hidden="1">'[1]#REF'!#REF!</definedName>
    <definedName name="dd" localSheetId="11" hidden="1">'[1]#REF'!#REF!</definedName>
    <definedName name="dd" localSheetId="10" hidden="1">'[1]#REF'!#REF!</definedName>
    <definedName name="dd" localSheetId="9" hidden="1">'[1]#REF'!#REF!</definedName>
    <definedName name="dd" localSheetId="7" hidden="1">'[1]#REF'!#REF!</definedName>
    <definedName name="dd" hidden="1">'[1]#REF'!#REF!</definedName>
    <definedName name="dddd" localSheetId="5" hidden="1">'[1]#REF'!#REF!</definedName>
    <definedName name="dddd" localSheetId="6" hidden="1">'[1]#REF'!#REF!</definedName>
    <definedName name="dddd" localSheetId="1" hidden="1">'[1]#REF'!#REF!</definedName>
    <definedName name="dddd" hidden="1">'[1]#REF'!#REF!</definedName>
    <definedName name="FA_ASSET_TYPE">[2]OUTPUT!$D$34:$D$2465</definedName>
    <definedName name="FA_CAT">[2]CONTROL!$G$212:$G$225</definedName>
    <definedName name="FA_Driver_List">[2]CONTROL!$G$167:$G$196</definedName>
    <definedName name="FLEX_DEP">[2]CONTROL!$G$117:$G$120</definedName>
    <definedName name="m" localSheetId="2">'[3]Pricing_and_Revenue 5 yr'!$M$9</definedName>
    <definedName name="m">'Pricing_and_Revenue4yr7 target '!$M$9</definedName>
    <definedName name="n" localSheetId="5" hidden="1">'[1]#REF'!#REF!</definedName>
    <definedName name="n" localSheetId="6" hidden="1">'[1]#REF'!#REF!</definedName>
    <definedName name="n" localSheetId="1" hidden="1">'[1]#REF'!#REF!</definedName>
    <definedName name="n" localSheetId="7" hidden="1">'[1]#REF'!#REF!</definedName>
    <definedName name="n" hidden="1">'[1]#REF'!#REF!</definedName>
    <definedName name="Name" localSheetId="5" hidden="1">'[1]#REF'!#REF!</definedName>
    <definedName name="Name" localSheetId="8" hidden="1">'[1]#REF'!#REF!</definedName>
    <definedName name="Name" localSheetId="6" hidden="1">'[1]#REF'!#REF!</definedName>
    <definedName name="Name" localSheetId="4" hidden="1">'[1]#REF'!#REF!</definedName>
    <definedName name="Name" localSheetId="1" hidden="1">'[1]#REF'!#REF!</definedName>
    <definedName name="Name" localSheetId="11" hidden="1">'[1]#REF'!#REF!</definedName>
    <definedName name="Name" localSheetId="10" hidden="1">'[1]#REF'!#REF!</definedName>
    <definedName name="Name" localSheetId="9" hidden="1">'[1]#REF'!#REF!</definedName>
    <definedName name="Name" localSheetId="3" hidden="1">'[1]#REF'!#REF!</definedName>
    <definedName name="Name" localSheetId="7" hidden="1">'[1]#REF'!#REF!</definedName>
    <definedName name="Name" hidden="1">'[1]#REF'!#REF!</definedName>
    <definedName name="Output_Unit">[2]CONTROL!$I$24</definedName>
    <definedName name="Price_increase">[3]Scenarios!$S$12</definedName>
    <definedName name="Price_increase_FY15">[3]Scenarios!$Q$24</definedName>
    <definedName name="price_increaseFY16">[3]Scenarios!$R$18</definedName>
    <definedName name="_xlnm.Print_Area" localSheetId="12">'BARNZ Airfield'!$B$1:$G$54</definedName>
    <definedName name="_xlnm.Print_Area" localSheetId="14">'BARNZ DJ term'!$B$1:$G$54</definedName>
    <definedName name="_xlnm.Print_Area" localSheetId="13">'BARNZ int term'!$B$1:$G$54</definedName>
    <definedName name="_xlnm.Print_Area" localSheetId="16">'BARNZ total'!$B$1:$G$54</definedName>
    <definedName name="SEGMENT_FA">[2]OUTPUT!$E$34:$E$2465</definedName>
    <definedName name="seven_months" localSheetId="2">'[3]Pricing_and_Revenue 4 yr 7 m'!$M$10</definedName>
    <definedName name="seven_months">'Pricing_and_Revenue4yr7 target '!$M$10</definedName>
    <definedName name="solver_adj" localSheetId="8" hidden="1">#REF!</definedName>
    <definedName name="solver_adj" localSheetId="11" hidden="1">'TERM DOM'!#REF!</definedName>
    <definedName name="solver_adj" localSheetId="10" hidden="1">'TERM DOM - JET'!#REF!</definedName>
    <definedName name="solver_adj" localSheetId="9" hidden="1">'TERM INTER'!#REF!</definedName>
    <definedName name="solver_cvg" localSheetId="8" hidden="1">0.0001</definedName>
    <definedName name="solver_cvg" localSheetId="11" hidden="1">0.0001</definedName>
    <definedName name="solver_cvg" localSheetId="10" hidden="1">0.0001</definedName>
    <definedName name="solver_cvg" localSheetId="9" hidden="1">0.0001</definedName>
    <definedName name="solver_drv" localSheetId="8" hidden="1">1</definedName>
    <definedName name="solver_drv" localSheetId="11" hidden="1">1</definedName>
    <definedName name="solver_drv" localSheetId="10" hidden="1">1</definedName>
    <definedName name="solver_drv" localSheetId="9" hidden="1">1</definedName>
    <definedName name="solver_est" localSheetId="8" hidden="1">1</definedName>
    <definedName name="solver_est" localSheetId="11" hidden="1">1</definedName>
    <definedName name="solver_est" localSheetId="10" hidden="1">1</definedName>
    <definedName name="solver_est" localSheetId="9" hidden="1">1</definedName>
    <definedName name="solver_itr" localSheetId="8" hidden="1">100</definedName>
    <definedName name="solver_itr" localSheetId="11" hidden="1">100</definedName>
    <definedName name="solver_itr" localSheetId="10" hidden="1">100</definedName>
    <definedName name="solver_itr" localSheetId="9" hidden="1">100</definedName>
    <definedName name="solver_lin" localSheetId="8" hidden="1">2</definedName>
    <definedName name="solver_lin" localSheetId="11" hidden="1">2</definedName>
    <definedName name="solver_lin" localSheetId="10" hidden="1">2</definedName>
    <definedName name="solver_lin" localSheetId="9" hidden="1">2</definedName>
    <definedName name="solver_neg" localSheetId="8" hidden="1">2</definedName>
    <definedName name="solver_neg" localSheetId="11" hidden="1">2</definedName>
    <definedName name="solver_neg" localSheetId="10" hidden="1">2</definedName>
    <definedName name="solver_neg" localSheetId="9" hidden="1">2</definedName>
    <definedName name="solver_num" localSheetId="8" hidden="1">0</definedName>
    <definedName name="solver_num" localSheetId="11" hidden="1">0</definedName>
    <definedName name="solver_num" localSheetId="10" hidden="1">0</definedName>
    <definedName name="solver_num" localSheetId="9" hidden="1">0</definedName>
    <definedName name="solver_nwt" localSheetId="8" hidden="1">1</definedName>
    <definedName name="solver_nwt" localSheetId="11" hidden="1">1</definedName>
    <definedName name="solver_nwt" localSheetId="10" hidden="1">1</definedName>
    <definedName name="solver_nwt" localSheetId="9" hidden="1">1</definedName>
    <definedName name="solver_opt" localSheetId="8" hidden="1">#REF!</definedName>
    <definedName name="solver_opt" localSheetId="11" hidden="1">'TERM DOM'!#REF!</definedName>
    <definedName name="solver_opt" localSheetId="10" hidden="1">'TERM DOM - JET'!#REF!</definedName>
    <definedName name="solver_opt" localSheetId="9" hidden="1">'TERM INTER'!#REF!</definedName>
    <definedName name="solver_pre" localSheetId="8" hidden="1">0.000001</definedName>
    <definedName name="solver_pre" localSheetId="11" hidden="1">0.000001</definedName>
    <definedName name="solver_pre" localSheetId="10" hidden="1">0.000001</definedName>
    <definedName name="solver_pre" localSheetId="9" hidden="1">0.000001</definedName>
    <definedName name="solver_scl" localSheetId="8" hidden="1">2</definedName>
    <definedName name="solver_scl" localSheetId="11" hidden="1">2</definedName>
    <definedName name="solver_scl" localSheetId="10" hidden="1">2</definedName>
    <definedName name="solver_scl" localSheetId="9" hidden="1">2</definedName>
    <definedName name="solver_sho" localSheetId="8" hidden="1">2</definedName>
    <definedName name="solver_sho" localSheetId="11" hidden="1">2</definedName>
    <definedName name="solver_sho" localSheetId="10" hidden="1">2</definedName>
    <definedName name="solver_sho" localSheetId="9" hidden="1">2</definedName>
    <definedName name="solver_tim" localSheetId="8" hidden="1">100</definedName>
    <definedName name="solver_tim" localSheetId="11" hidden="1">100</definedName>
    <definedName name="solver_tim" localSheetId="10" hidden="1">100</definedName>
    <definedName name="solver_tim" localSheetId="9" hidden="1">100</definedName>
    <definedName name="solver_tol" localSheetId="8" hidden="1">0.05</definedName>
    <definedName name="solver_tol" localSheetId="11" hidden="1">0.05</definedName>
    <definedName name="solver_tol" localSheetId="10" hidden="1">0.05</definedName>
    <definedName name="solver_tol" localSheetId="9" hidden="1">0.05</definedName>
    <definedName name="solver_typ" localSheetId="8" hidden="1">3</definedName>
    <definedName name="solver_typ" localSheetId="11" hidden="1">3</definedName>
    <definedName name="solver_typ" localSheetId="10" hidden="1">3</definedName>
    <definedName name="solver_typ" localSheetId="9" hidden="1">3</definedName>
    <definedName name="solver_val" localSheetId="8" hidden="1">0</definedName>
    <definedName name="solver_val" localSheetId="11" hidden="1">0</definedName>
    <definedName name="solver_val" localSheetId="10" hidden="1">0</definedName>
    <definedName name="solver_val" localSheetId="9" hidden="1">0</definedName>
    <definedName name="Term_WACC" localSheetId="2">[3]WACC!$Y$32</definedName>
    <definedName name="Term_WACC">WACC!$Y$32</definedName>
    <definedName name="TIME_SERIES">'[2]Macro Input'!$K$10:$BA$10</definedName>
  </definedNames>
  <calcPr calcId="145621" calcOnSave="0"/>
</workbook>
</file>

<file path=xl/calcChain.xml><?xml version="1.0" encoding="utf-8"?>
<calcChain xmlns="http://schemas.openxmlformats.org/spreadsheetml/2006/main">
  <c r="C41" i="43" l="1"/>
  <c r="D41" i="43" s="1"/>
  <c r="E41" i="43" s="1"/>
  <c r="F41" i="43" s="1"/>
  <c r="G41" i="43" s="1"/>
  <c r="C23" i="43"/>
  <c r="D23" i="43" s="1"/>
  <c r="E23" i="43" s="1"/>
  <c r="F23" i="43" s="1"/>
  <c r="G23" i="43" s="1"/>
  <c r="D6" i="43"/>
  <c r="E6" i="43" s="1"/>
  <c r="F6" i="43" l="1"/>
  <c r="G6" i="43" s="1"/>
  <c r="C41" i="42"/>
  <c r="D41" i="42" s="1"/>
  <c r="E41" i="42" s="1"/>
  <c r="F41" i="42" s="1"/>
  <c r="G41" i="42" s="1"/>
  <c r="C23" i="42"/>
  <c r="D23" i="42" s="1"/>
  <c r="E23" i="42" s="1"/>
  <c r="F23" i="42" s="1"/>
  <c r="G23" i="42" s="1"/>
  <c r="D6" i="42"/>
  <c r="E6" i="42" s="1"/>
  <c r="F6" i="42" s="1"/>
  <c r="G6" i="42" s="1"/>
  <c r="C41" i="41"/>
  <c r="D41" i="41" s="1"/>
  <c r="E41" i="41" s="1"/>
  <c r="F41" i="41" s="1"/>
  <c r="G41" i="41" s="1"/>
  <c r="C23" i="41"/>
  <c r="D23" i="41" s="1"/>
  <c r="E23" i="41" s="1"/>
  <c r="F23" i="41" s="1"/>
  <c r="G23" i="41" s="1"/>
  <c r="D6" i="41"/>
  <c r="E6" i="41" s="1"/>
  <c r="F6" i="41" s="1"/>
  <c r="G6" i="41" s="1"/>
  <c r="C41" i="40"/>
  <c r="D41" i="40" s="1"/>
  <c r="E41" i="40" s="1"/>
  <c r="F41" i="40" s="1"/>
  <c r="G41" i="40" s="1"/>
  <c r="C23" i="40"/>
  <c r="D23" i="40" s="1"/>
  <c r="E23" i="40" s="1"/>
  <c r="F23" i="40" s="1"/>
  <c r="G23" i="40" s="1"/>
  <c r="D6" i="40"/>
  <c r="E6" i="40" s="1"/>
  <c r="F6" i="40" s="1"/>
  <c r="G6" i="40" s="1"/>
  <c r="C41" i="39" l="1"/>
  <c r="D41" i="39" s="1"/>
  <c r="E41" i="39" s="1"/>
  <c r="F41" i="39" s="1"/>
  <c r="G41" i="39" s="1"/>
  <c r="C23" i="39" l="1"/>
  <c r="D23" i="39" s="1"/>
  <c r="E23" i="39" l="1"/>
  <c r="F23" i="39" s="1"/>
  <c r="G23" i="39" s="1"/>
  <c r="D6" i="39"/>
  <c r="E6" i="39" s="1"/>
  <c r="F6" i="39" s="1"/>
  <c r="G6" i="39" s="1"/>
  <c r="T222" i="34" l="1"/>
  <c r="U222" i="34" s="1"/>
  <c r="V222" i="34" s="1"/>
  <c r="W222" i="34" s="1"/>
  <c r="X222" i="34" s="1"/>
  <c r="Y222" i="34" s="1"/>
  <c r="N469" i="8" l="1"/>
  <c r="N374" i="8"/>
  <c r="N279" i="8"/>
  <c r="O275" i="8" s="1"/>
  <c r="P275" i="8" s="1"/>
  <c r="O81" i="8" l="1"/>
  <c r="P81" i="8"/>
  <c r="Q81" i="8"/>
  <c r="R81" i="8"/>
  <c r="S81" i="8"/>
  <c r="N81" i="8"/>
  <c r="O87" i="8"/>
  <c r="P87" i="8"/>
  <c r="Q87" i="8"/>
  <c r="R87" i="8"/>
  <c r="S87" i="8"/>
  <c r="N87" i="8"/>
  <c r="O83" i="8"/>
  <c r="P83" i="8"/>
  <c r="Q83" i="8"/>
  <c r="R83" i="8"/>
  <c r="S83" i="8"/>
  <c r="O84" i="8"/>
  <c r="P84" i="8"/>
  <c r="Q84" i="8"/>
  <c r="R84" i="8"/>
  <c r="S84" i="8"/>
  <c r="O85" i="8"/>
  <c r="P85" i="8"/>
  <c r="Q85" i="8"/>
  <c r="R85" i="8"/>
  <c r="S85" i="8"/>
  <c r="O86" i="8"/>
  <c r="P86" i="8"/>
  <c r="Q86" i="8"/>
  <c r="R86" i="8"/>
  <c r="S86" i="8"/>
  <c r="N85" i="8"/>
  <c r="N86" i="8"/>
  <c r="N84" i="8"/>
  <c r="N83" i="8"/>
  <c r="M125" i="6" l="1"/>
  <c r="K137" i="6"/>
  <c r="L137" i="6"/>
  <c r="M137" i="6"/>
  <c r="O137" i="6"/>
  <c r="P137" i="6"/>
  <c r="Q137" i="6"/>
  <c r="R137" i="6"/>
  <c r="S137" i="6"/>
  <c r="T137" i="6"/>
  <c r="U137" i="6"/>
  <c r="V137" i="6"/>
  <c r="W137" i="6"/>
  <c r="X137" i="6"/>
  <c r="Y137" i="6"/>
  <c r="Q21" i="34" l="1"/>
  <c r="Q57" i="34"/>
  <c r="Q20" i="34"/>
  <c r="R21" i="34"/>
  <c r="R57" i="34" s="1"/>
  <c r="S21" i="34"/>
  <c r="R20" i="34"/>
  <c r="P57" i="34"/>
  <c r="O57" i="34"/>
  <c r="P21" i="34"/>
  <c r="O55" i="34"/>
  <c r="D28" i="38"/>
  <c r="D20" i="38"/>
  <c r="D12" i="38"/>
  <c r="D5" i="38"/>
  <c r="D11" i="38"/>
  <c r="D4" i="38"/>
  <c r="E34" i="38"/>
  <c r="F34" i="38" s="1"/>
  <c r="G34" i="38" s="1"/>
  <c r="H34" i="38" s="1"/>
  <c r="I34" i="38" s="1"/>
  <c r="J34" i="38" s="1"/>
  <c r="K34" i="38" s="1"/>
  <c r="L34" i="38" s="1"/>
  <c r="M34" i="38" s="1"/>
  <c r="N34" i="38" s="1"/>
  <c r="O34" i="38" s="1"/>
  <c r="P34" i="38" s="1"/>
  <c r="E90" i="38"/>
  <c r="F90" i="38" s="1"/>
  <c r="G90" i="38" s="1"/>
  <c r="H90" i="38" s="1"/>
  <c r="I90" i="38" s="1"/>
  <c r="J90" i="38" s="1"/>
  <c r="K90" i="38" s="1"/>
  <c r="L90" i="38" s="1"/>
  <c r="M90" i="38" s="1"/>
  <c r="N90" i="38" s="1"/>
  <c r="O90" i="38" s="1"/>
  <c r="P90" i="38" s="1"/>
  <c r="E71" i="38"/>
  <c r="F71" i="38" s="1"/>
  <c r="G71" i="38" s="1"/>
  <c r="H71" i="38" s="1"/>
  <c r="I71" i="38" s="1"/>
  <c r="J71" i="38" s="1"/>
  <c r="K71" i="38" s="1"/>
  <c r="L71" i="38" s="1"/>
  <c r="M71" i="38" s="1"/>
  <c r="N71" i="38" s="1"/>
  <c r="O71" i="38" s="1"/>
  <c r="P71" i="38" s="1"/>
  <c r="Q92" i="38"/>
  <c r="F1" i="38"/>
  <c r="G1" i="38" s="1"/>
  <c r="H1" i="38" s="1"/>
  <c r="I1" i="38" s="1"/>
  <c r="J1" i="38" s="1"/>
  <c r="K1" i="38" s="1"/>
  <c r="L1" i="38" s="1"/>
  <c r="M1" i="38" s="1"/>
  <c r="N1" i="38" s="1"/>
  <c r="O1" i="38" s="1"/>
  <c r="P1" i="38" s="1"/>
  <c r="T21" i="34" l="1"/>
  <c r="S57" i="34"/>
  <c r="Q73" i="38"/>
  <c r="D13" i="38"/>
  <c r="D6" i="38"/>
  <c r="U21" i="34" l="1"/>
  <c r="T57" i="34"/>
  <c r="H52" i="38"/>
  <c r="I52" i="38"/>
  <c r="G52" i="38"/>
  <c r="E52" i="38"/>
  <c r="F52" i="38"/>
  <c r="J52" i="38"/>
  <c r="I36" i="38"/>
  <c r="E36" i="38"/>
  <c r="F36" i="38"/>
  <c r="H36" i="38"/>
  <c r="G36" i="38"/>
  <c r="J36" i="38"/>
  <c r="Q36" i="38" s="1"/>
  <c r="V21" i="34" l="1"/>
  <c r="U57" i="34"/>
  <c r="Q52" i="38"/>
  <c r="W21" i="34" l="1"/>
  <c r="V57" i="34"/>
  <c r="X21" i="34" l="1"/>
  <c r="W57" i="34"/>
  <c r="Y21" i="34" l="1"/>
  <c r="Y57" i="34" s="1"/>
  <c r="X57" i="34"/>
  <c r="Q200" i="34" l="1"/>
  <c r="Q189" i="34"/>
  <c r="O27" i="10"/>
  <c r="P27" i="10"/>
  <c r="Q27" i="10"/>
  <c r="R27" i="10"/>
  <c r="S27" i="10"/>
  <c r="T27" i="10"/>
  <c r="U27" i="10"/>
  <c r="V27" i="10"/>
  <c r="W27" i="10"/>
  <c r="X27" i="10"/>
  <c r="Y27" i="10"/>
  <c r="N27" i="10"/>
  <c r="O33" i="10" l="1"/>
  <c r="P33" i="10"/>
  <c r="Q33" i="10"/>
  <c r="R33" i="10"/>
  <c r="S33" i="10"/>
  <c r="T33" i="10"/>
  <c r="U33" i="10"/>
  <c r="V33" i="10"/>
  <c r="W33" i="10"/>
  <c r="X33" i="10"/>
  <c r="Y33" i="10"/>
  <c r="N33" i="10"/>
  <c r="AI13" i="2" l="1"/>
  <c r="S200" i="34" l="1"/>
  <c r="R200" i="34"/>
  <c r="S189" i="34"/>
  <c r="R189" i="34"/>
  <c r="D14" i="38" l="1"/>
  <c r="K57" i="38" s="1"/>
  <c r="D7" i="38"/>
  <c r="L41" i="38" s="1"/>
  <c r="M57" i="38"/>
  <c r="P57" i="38"/>
  <c r="Q57" i="38" s="1"/>
  <c r="L57" i="38" l="1"/>
  <c r="O57" i="38"/>
  <c r="N57" i="38"/>
  <c r="P41" i="38"/>
  <c r="Q41" i="38" s="1"/>
  <c r="N41" i="38"/>
  <c r="O41" i="38"/>
  <c r="K41" i="38"/>
  <c r="M41" i="38"/>
  <c r="S188" i="34"/>
  <c r="Y238" i="34" l="1"/>
  <c r="X238" i="34"/>
  <c r="W238" i="34"/>
  <c r="V238" i="34"/>
  <c r="U238" i="34"/>
  <c r="T238" i="34"/>
  <c r="S238" i="34"/>
  <c r="R238" i="34"/>
  <c r="Q238" i="34"/>
  <c r="P238" i="34"/>
  <c r="O238" i="34"/>
  <c r="Y234" i="34"/>
  <c r="X234" i="34"/>
  <c r="W234" i="34"/>
  <c r="V234" i="34"/>
  <c r="U234" i="34"/>
  <c r="T234" i="34"/>
  <c r="S234" i="34"/>
  <c r="R234" i="34"/>
  <c r="Q234" i="34"/>
  <c r="P234" i="34"/>
  <c r="Y227" i="34"/>
  <c r="X227" i="34"/>
  <c r="W227" i="34"/>
  <c r="V227" i="34"/>
  <c r="U227" i="34"/>
  <c r="T227" i="34"/>
  <c r="S227" i="34"/>
  <c r="R227" i="34"/>
  <c r="Q227" i="34"/>
  <c r="P227" i="34"/>
  <c r="O227" i="34"/>
  <c r="Y223" i="34"/>
  <c r="X223" i="34"/>
  <c r="W223" i="34"/>
  <c r="V223" i="34"/>
  <c r="U223" i="34"/>
  <c r="T223" i="34"/>
  <c r="S223" i="34"/>
  <c r="R223" i="34"/>
  <c r="Q223" i="34"/>
  <c r="P223" i="34"/>
  <c r="Y216" i="34"/>
  <c r="X216" i="34"/>
  <c r="W216" i="34"/>
  <c r="V216" i="34"/>
  <c r="U216" i="34"/>
  <c r="T216" i="34"/>
  <c r="S216" i="34"/>
  <c r="R216" i="34"/>
  <c r="Q216" i="34"/>
  <c r="P216" i="34"/>
  <c r="O216" i="34"/>
  <c r="Y212" i="34"/>
  <c r="X212" i="34"/>
  <c r="W212" i="34"/>
  <c r="V212" i="34"/>
  <c r="U212" i="34"/>
  <c r="T212" i="34"/>
  <c r="P211" i="34"/>
  <c r="Q211" i="34" s="1"/>
  <c r="Y205" i="34"/>
  <c r="X205" i="34"/>
  <c r="W205" i="34"/>
  <c r="V205" i="34"/>
  <c r="U205" i="34"/>
  <c r="T205" i="34"/>
  <c r="S205" i="34"/>
  <c r="R205" i="34"/>
  <c r="Q205" i="34"/>
  <c r="P205" i="34"/>
  <c r="O205" i="34"/>
  <c r="Y200" i="34"/>
  <c r="X200" i="34"/>
  <c r="W200" i="34"/>
  <c r="V200" i="34"/>
  <c r="U200" i="34"/>
  <c r="T200" i="34"/>
  <c r="Y194" i="34"/>
  <c r="X194" i="34"/>
  <c r="W194" i="34"/>
  <c r="V194" i="34"/>
  <c r="U194" i="34"/>
  <c r="T194" i="34"/>
  <c r="S194" i="34"/>
  <c r="R194" i="34"/>
  <c r="Q194" i="34"/>
  <c r="P194" i="34"/>
  <c r="O194" i="34"/>
  <c r="Y189" i="34"/>
  <c r="X189" i="34"/>
  <c r="W189" i="34"/>
  <c r="V189" i="34"/>
  <c r="U189" i="34"/>
  <c r="T189" i="34"/>
  <c r="Y168" i="34"/>
  <c r="X168" i="34"/>
  <c r="W168" i="34"/>
  <c r="V168" i="34"/>
  <c r="U168" i="34"/>
  <c r="T168" i="34"/>
  <c r="S168" i="34"/>
  <c r="R168" i="34"/>
  <c r="Q168" i="34"/>
  <c r="P168" i="34"/>
  <c r="O168" i="34"/>
  <c r="Y163" i="34"/>
  <c r="X163" i="34"/>
  <c r="W163" i="34"/>
  <c r="V163" i="34"/>
  <c r="U163" i="34"/>
  <c r="T163" i="34"/>
  <c r="S163" i="34"/>
  <c r="R163" i="34"/>
  <c r="Q163" i="34"/>
  <c r="P163" i="34"/>
  <c r="P162" i="34" s="1"/>
  <c r="Y155" i="34"/>
  <c r="X155" i="34"/>
  <c r="W155" i="34"/>
  <c r="V155" i="34"/>
  <c r="U155" i="34"/>
  <c r="T155" i="34"/>
  <c r="S155" i="34"/>
  <c r="R155" i="34"/>
  <c r="Q155" i="34"/>
  <c r="P155" i="34"/>
  <c r="O155" i="34"/>
  <c r="D151" i="34"/>
  <c r="Y150" i="34"/>
  <c r="X150" i="34"/>
  <c r="W150" i="34"/>
  <c r="V150" i="34"/>
  <c r="U150" i="34"/>
  <c r="T150" i="34"/>
  <c r="S150" i="34"/>
  <c r="R150" i="34"/>
  <c r="Q150" i="34"/>
  <c r="P150" i="34"/>
  <c r="P149" i="34" s="1"/>
  <c r="Y141" i="34"/>
  <c r="X141" i="34"/>
  <c r="W141" i="34"/>
  <c r="V141" i="34"/>
  <c r="U141" i="34"/>
  <c r="T141" i="34"/>
  <c r="S141" i="34"/>
  <c r="R141" i="34"/>
  <c r="Q141" i="34"/>
  <c r="P141" i="34"/>
  <c r="O141" i="34"/>
  <c r="D137" i="34"/>
  <c r="D136" i="34"/>
  <c r="Y135" i="34"/>
  <c r="X135" i="34"/>
  <c r="W135" i="34"/>
  <c r="V135" i="34"/>
  <c r="U135" i="34"/>
  <c r="T135" i="34"/>
  <c r="S135" i="34"/>
  <c r="R135" i="34"/>
  <c r="Q135" i="34"/>
  <c r="P135" i="34"/>
  <c r="P134" i="34" s="1"/>
  <c r="Y126" i="34"/>
  <c r="X126" i="34"/>
  <c r="W126" i="34"/>
  <c r="V126" i="34"/>
  <c r="U126" i="34"/>
  <c r="T126" i="34"/>
  <c r="S126" i="34"/>
  <c r="R126" i="34"/>
  <c r="Q126" i="34"/>
  <c r="P126" i="34"/>
  <c r="O126" i="34"/>
  <c r="Y121" i="34"/>
  <c r="X121" i="34"/>
  <c r="W121" i="34"/>
  <c r="V121" i="34"/>
  <c r="U121" i="34"/>
  <c r="T121" i="34"/>
  <c r="S121" i="34"/>
  <c r="R121" i="34"/>
  <c r="Q121" i="34"/>
  <c r="P121" i="34"/>
  <c r="P120" i="34" s="1"/>
  <c r="Q120" i="34" s="1"/>
  <c r="Y110" i="34"/>
  <c r="X110" i="34"/>
  <c r="W110" i="34"/>
  <c r="V110" i="34"/>
  <c r="U110" i="34"/>
  <c r="T110" i="34"/>
  <c r="S110" i="34"/>
  <c r="R110" i="34"/>
  <c r="Q110" i="34"/>
  <c r="P110" i="34"/>
  <c r="O110" i="34"/>
  <c r="Y105" i="34"/>
  <c r="X105" i="34"/>
  <c r="W105" i="34"/>
  <c r="V105" i="34"/>
  <c r="U105" i="34"/>
  <c r="T105" i="34"/>
  <c r="S105" i="34"/>
  <c r="R105" i="34"/>
  <c r="Q105" i="34"/>
  <c r="P105" i="34"/>
  <c r="P104" i="34" s="1"/>
  <c r="M79" i="34"/>
  <c r="M77" i="34"/>
  <c r="Y77" i="34" s="1"/>
  <c r="M75" i="34"/>
  <c r="X75" i="34" s="1"/>
  <c r="X78" i="34" s="1"/>
  <c r="N74" i="34"/>
  <c r="D70" i="34"/>
  <c r="M66" i="34"/>
  <c r="J54" i="34"/>
  <c r="I54" i="34"/>
  <c r="H54" i="34"/>
  <c r="G54" i="34"/>
  <c r="D54" i="34"/>
  <c r="N52" i="34"/>
  <c r="O23" i="34"/>
  <c r="M62" i="34" s="1"/>
  <c r="Y19" i="34"/>
  <c r="X19" i="34"/>
  <c r="W19" i="34"/>
  <c r="V19" i="34"/>
  <c r="U19" i="34"/>
  <c r="T19" i="34"/>
  <c r="S19" i="34"/>
  <c r="R19" i="34"/>
  <c r="Q19" i="34"/>
  <c r="P19" i="34"/>
  <c r="P20" i="34" s="1"/>
  <c r="P55" i="34" s="1"/>
  <c r="O19" i="34"/>
  <c r="M10" i="34"/>
  <c r="Y7" i="34"/>
  <c r="X7" i="34"/>
  <c r="W7" i="34"/>
  <c r="V7" i="34"/>
  <c r="U7" i="34"/>
  <c r="T7" i="34"/>
  <c r="S7" i="34"/>
  <c r="R7" i="34"/>
  <c r="Q7" i="34"/>
  <c r="P7" i="34"/>
  <c r="O7" i="34"/>
  <c r="N7" i="34"/>
  <c r="R120" i="34" l="1"/>
  <c r="S120" i="34" s="1"/>
  <c r="P233" i="34"/>
  <c r="P222" i="34"/>
  <c r="O75" i="34"/>
  <c r="Q75" i="34"/>
  <c r="Q78" i="34" s="1"/>
  <c r="S75" i="34"/>
  <c r="S78" i="34" s="1"/>
  <c r="U75" i="34"/>
  <c r="U78" i="34" s="1"/>
  <c r="W75" i="34"/>
  <c r="W78" i="34" s="1"/>
  <c r="Y75" i="34"/>
  <c r="Y78" i="34" s="1"/>
  <c r="P77" i="34"/>
  <c r="R77" i="34"/>
  <c r="T77" i="34"/>
  <c r="V77" i="34"/>
  <c r="X77" i="34"/>
  <c r="Q104" i="34"/>
  <c r="P75" i="34"/>
  <c r="P78" i="34" s="1"/>
  <c r="R75" i="34"/>
  <c r="R78" i="34" s="1"/>
  <c r="T75" i="34"/>
  <c r="T78" i="34" s="1"/>
  <c r="V75" i="34"/>
  <c r="V78" i="34" s="1"/>
  <c r="O77" i="34"/>
  <c r="Q77" i="34"/>
  <c r="S77" i="34"/>
  <c r="U77" i="34"/>
  <c r="W77" i="34"/>
  <c r="Q134" i="34"/>
  <c r="Q162" i="34"/>
  <c r="Q149" i="34"/>
  <c r="D19" i="38" l="1"/>
  <c r="D21" i="38" s="1"/>
  <c r="Q55" i="34"/>
  <c r="D27" i="38"/>
  <c r="D29" i="38" s="1"/>
  <c r="R149" i="34"/>
  <c r="R162" i="34"/>
  <c r="R104" i="34"/>
  <c r="R211" i="34"/>
  <c r="R134" i="34"/>
  <c r="T120" i="34"/>
  <c r="D30" i="38" l="1"/>
  <c r="S233" i="34"/>
  <c r="S20" i="34"/>
  <c r="S55" i="34" s="1"/>
  <c r="R55" i="34"/>
  <c r="J92" i="38"/>
  <c r="F92" i="38"/>
  <c r="G92" i="38"/>
  <c r="E92" i="38"/>
  <c r="H92" i="38"/>
  <c r="I92" i="38"/>
  <c r="D22" i="38"/>
  <c r="S222" i="34"/>
  <c r="H73" i="38"/>
  <c r="E73" i="38"/>
  <c r="I73" i="38"/>
  <c r="G73" i="38"/>
  <c r="J73" i="38"/>
  <c r="F73" i="38"/>
  <c r="U120" i="34"/>
  <c r="S134" i="34"/>
  <c r="S104" i="34"/>
  <c r="T188" i="34"/>
  <c r="S211" i="34"/>
  <c r="S162" i="34"/>
  <c r="S149" i="34"/>
  <c r="Y88" i="14"/>
  <c r="X88" i="14"/>
  <c r="W88" i="14"/>
  <c r="V88" i="14"/>
  <c r="U88" i="14"/>
  <c r="T88" i="14"/>
  <c r="X79" i="14"/>
  <c r="W79" i="14"/>
  <c r="V79" i="14"/>
  <c r="U79" i="14"/>
  <c r="T79" i="14"/>
  <c r="N79" i="14"/>
  <c r="M77" i="14"/>
  <c r="L77" i="14"/>
  <c r="K77" i="14"/>
  <c r="M76" i="14"/>
  <c r="L76" i="14"/>
  <c r="K76" i="14"/>
  <c r="M68" i="14"/>
  <c r="L68" i="14"/>
  <c r="K68" i="14"/>
  <c r="M66" i="14"/>
  <c r="L66" i="14"/>
  <c r="K66" i="14"/>
  <c r="M64" i="14"/>
  <c r="L64" i="14"/>
  <c r="K64" i="14"/>
  <c r="M47" i="14"/>
  <c r="N42" i="14"/>
  <c r="N41" i="14"/>
  <c r="N40" i="14"/>
  <c r="N39" i="14"/>
  <c r="N38" i="14"/>
  <c r="N37" i="14"/>
  <c r="N36" i="14"/>
  <c r="N35" i="14"/>
  <c r="N34" i="14"/>
  <c r="N47" i="14" s="1"/>
  <c r="N76" i="14" s="1"/>
  <c r="N33" i="14"/>
  <c r="N30" i="14"/>
  <c r="N78" i="14" s="1"/>
  <c r="M30" i="14"/>
  <c r="M78" i="14" s="1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F7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Y85" i="13"/>
  <c r="X85" i="13"/>
  <c r="W85" i="13"/>
  <c r="V85" i="13"/>
  <c r="U85" i="13"/>
  <c r="T85" i="13"/>
  <c r="X76" i="13"/>
  <c r="W76" i="13"/>
  <c r="V76" i="13"/>
  <c r="U76" i="13"/>
  <c r="T76" i="13"/>
  <c r="N76" i="13"/>
  <c r="M74" i="13"/>
  <c r="L74" i="13"/>
  <c r="K74" i="13"/>
  <c r="M73" i="13"/>
  <c r="L73" i="13"/>
  <c r="K73" i="13"/>
  <c r="M72" i="13"/>
  <c r="L72" i="13"/>
  <c r="K72" i="13"/>
  <c r="M66" i="13"/>
  <c r="L66" i="13"/>
  <c r="K66" i="13"/>
  <c r="M64" i="13"/>
  <c r="L64" i="13"/>
  <c r="K64" i="13"/>
  <c r="M62" i="13"/>
  <c r="L62" i="13"/>
  <c r="K62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47" i="13"/>
  <c r="N42" i="13"/>
  <c r="N41" i="13"/>
  <c r="N40" i="13"/>
  <c r="N39" i="13"/>
  <c r="N38" i="13"/>
  <c r="N37" i="13"/>
  <c r="N36" i="13"/>
  <c r="N35" i="13"/>
  <c r="N34" i="13"/>
  <c r="N47" i="13" s="1"/>
  <c r="N73" i="13" s="1"/>
  <c r="N30" i="13"/>
  <c r="N75" i="13" s="1"/>
  <c r="M30" i="13"/>
  <c r="M75" i="13" s="1"/>
  <c r="M77" i="13" s="1"/>
  <c r="M26" i="13"/>
  <c r="L26" i="13"/>
  <c r="K26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F7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Y88" i="12"/>
  <c r="X88" i="12"/>
  <c r="W88" i="12"/>
  <c r="V88" i="12"/>
  <c r="U88" i="12"/>
  <c r="T88" i="12"/>
  <c r="Y79" i="12"/>
  <c r="X79" i="12"/>
  <c r="W79" i="12"/>
  <c r="V79" i="12"/>
  <c r="U79" i="12"/>
  <c r="T79" i="12"/>
  <c r="N79" i="12"/>
  <c r="M78" i="12"/>
  <c r="L78" i="12"/>
  <c r="K78" i="12"/>
  <c r="M77" i="12"/>
  <c r="L77" i="12"/>
  <c r="K77" i="12"/>
  <c r="M76" i="12"/>
  <c r="L76" i="12"/>
  <c r="K76" i="12"/>
  <c r="M75" i="12"/>
  <c r="L75" i="12"/>
  <c r="K75" i="12"/>
  <c r="M69" i="12"/>
  <c r="L69" i="12"/>
  <c r="K69" i="12"/>
  <c r="M67" i="12"/>
  <c r="L67" i="12"/>
  <c r="K67" i="12"/>
  <c r="M65" i="12"/>
  <c r="L65" i="12"/>
  <c r="K65" i="12"/>
  <c r="N43" i="12"/>
  <c r="N42" i="12"/>
  <c r="N41" i="12"/>
  <c r="N40" i="12"/>
  <c r="X39" i="12"/>
  <c r="W39" i="12"/>
  <c r="V39" i="12"/>
  <c r="U39" i="12"/>
  <c r="T39" i="12"/>
  <c r="S39" i="12"/>
  <c r="R39" i="12"/>
  <c r="Q39" i="12"/>
  <c r="P39" i="12"/>
  <c r="O39" i="12"/>
  <c r="N39" i="12"/>
  <c r="N38" i="12"/>
  <c r="N37" i="12"/>
  <c r="N36" i="12"/>
  <c r="N35" i="12"/>
  <c r="N31" i="12"/>
  <c r="N78" i="12" s="1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F7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O80" i="11"/>
  <c r="O89" i="11" s="1"/>
  <c r="Y79" i="11"/>
  <c r="Y88" i="11" s="1"/>
  <c r="X79" i="11"/>
  <c r="X88" i="11" s="1"/>
  <c r="W79" i="11"/>
  <c r="W88" i="11" s="1"/>
  <c r="V79" i="11"/>
  <c r="V88" i="11" s="1"/>
  <c r="U79" i="11"/>
  <c r="U88" i="11" s="1"/>
  <c r="T79" i="11"/>
  <c r="T88" i="11" s="1"/>
  <c r="M64" i="11"/>
  <c r="L64" i="11"/>
  <c r="K64" i="11"/>
  <c r="M42" i="11"/>
  <c r="L42" i="11"/>
  <c r="K42" i="11"/>
  <c r="M41" i="11"/>
  <c r="L41" i="11"/>
  <c r="K41" i="11"/>
  <c r="M40" i="11"/>
  <c r="L40" i="11"/>
  <c r="K40" i="11"/>
  <c r="M39" i="11"/>
  <c r="L39" i="11"/>
  <c r="K39" i="11"/>
  <c r="M38" i="11"/>
  <c r="L38" i="11"/>
  <c r="K38" i="11"/>
  <c r="M37" i="11"/>
  <c r="L37" i="11"/>
  <c r="K37" i="11"/>
  <c r="M36" i="11"/>
  <c r="L36" i="11"/>
  <c r="K36" i="11"/>
  <c r="K34" i="11"/>
  <c r="M33" i="11"/>
  <c r="L33" i="11"/>
  <c r="K33" i="11"/>
  <c r="N30" i="11"/>
  <c r="M26" i="11"/>
  <c r="L26" i="11"/>
  <c r="K26" i="11"/>
  <c r="P12" i="11"/>
  <c r="Q12" i="11" s="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F7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C5" i="11"/>
  <c r="D5" i="11" s="1"/>
  <c r="E5" i="11" s="1"/>
  <c r="F5" i="11" s="1"/>
  <c r="G5" i="11" s="1"/>
  <c r="H5" i="11" s="1"/>
  <c r="I5" i="11" s="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V5" i="11" s="1"/>
  <c r="W5" i="11" s="1"/>
  <c r="X5" i="11" s="1"/>
  <c r="Y5" i="11" s="1"/>
  <c r="B5" i="11"/>
  <c r="Y25" i="10"/>
  <c r="X25" i="10"/>
  <c r="W25" i="10"/>
  <c r="V25" i="10"/>
  <c r="U25" i="10"/>
  <c r="T25" i="10"/>
  <c r="S25" i="10"/>
  <c r="R25" i="10"/>
  <c r="Q25" i="10"/>
  <c r="P25" i="10"/>
  <c r="O25" i="10"/>
  <c r="N25" i="10"/>
  <c r="Y24" i="10"/>
  <c r="Y32" i="10" s="1"/>
  <c r="X24" i="10"/>
  <c r="X32" i="10" s="1"/>
  <c r="W24" i="10"/>
  <c r="W32" i="10" s="1"/>
  <c r="V24" i="10"/>
  <c r="V32" i="10" s="1"/>
  <c r="U24" i="10"/>
  <c r="U32" i="10" s="1"/>
  <c r="U13" i="9" s="1"/>
  <c r="T24" i="10"/>
  <c r="T32" i="10" s="1"/>
  <c r="S24" i="10"/>
  <c r="S32" i="10" s="1"/>
  <c r="R24" i="10"/>
  <c r="R32" i="10" s="1"/>
  <c r="Q24" i="10"/>
  <c r="Q32" i="10" s="1"/>
  <c r="Q13" i="9" s="1"/>
  <c r="P24" i="10"/>
  <c r="P32" i="10" s="1"/>
  <c r="O24" i="10"/>
  <c r="N24" i="10"/>
  <c r="N32" i="10" s="1"/>
  <c r="Y23" i="10"/>
  <c r="X23" i="10"/>
  <c r="W23" i="10"/>
  <c r="V23" i="10"/>
  <c r="U23" i="10"/>
  <c r="T23" i="10"/>
  <c r="S23" i="10"/>
  <c r="R23" i="10"/>
  <c r="Q23" i="10"/>
  <c r="P23" i="10"/>
  <c r="O23" i="10"/>
  <c r="N23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E869" i="8"/>
  <c r="D869" i="8"/>
  <c r="O868" i="8"/>
  <c r="E868" i="8"/>
  <c r="D868" i="8"/>
  <c r="E867" i="8"/>
  <c r="D867" i="8"/>
  <c r="E866" i="8"/>
  <c r="D866" i="8"/>
  <c r="AM865" i="8"/>
  <c r="AL865" i="8"/>
  <c r="AK865" i="8"/>
  <c r="AJ865" i="8"/>
  <c r="AI865" i="8"/>
  <c r="AH865" i="8"/>
  <c r="AG865" i="8"/>
  <c r="AF865" i="8"/>
  <c r="AE865" i="8"/>
  <c r="AD865" i="8"/>
  <c r="AC865" i="8"/>
  <c r="AB865" i="8"/>
  <c r="AA865" i="8"/>
  <c r="Z865" i="8"/>
  <c r="Y865" i="8"/>
  <c r="X865" i="8"/>
  <c r="W865" i="8"/>
  <c r="V865" i="8"/>
  <c r="U865" i="8"/>
  <c r="T865" i="8"/>
  <c r="S865" i="8"/>
  <c r="R865" i="8"/>
  <c r="Q865" i="8"/>
  <c r="P865" i="8"/>
  <c r="O865" i="8"/>
  <c r="E865" i="8"/>
  <c r="D865" i="8"/>
  <c r="E864" i="8"/>
  <c r="D864" i="8"/>
  <c r="E860" i="8"/>
  <c r="D860" i="8"/>
  <c r="O859" i="8"/>
  <c r="E859" i="8"/>
  <c r="D859" i="8"/>
  <c r="E858" i="8"/>
  <c r="D858" i="8"/>
  <c r="E857" i="8"/>
  <c r="D857" i="8"/>
  <c r="AM856" i="8"/>
  <c r="AL856" i="8"/>
  <c r="AK856" i="8"/>
  <c r="AJ856" i="8"/>
  <c r="AI856" i="8"/>
  <c r="AH856" i="8"/>
  <c r="AG856" i="8"/>
  <c r="AF856" i="8"/>
  <c r="AE856" i="8"/>
  <c r="AD856" i="8"/>
  <c r="AC856" i="8"/>
  <c r="AB856" i="8"/>
  <c r="AA856" i="8"/>
  <c r="Z856" i="8"/>
  <c r="Y856" i="8"/>
  <c r="X856" i="8"/>
  <c r="W856" i="8"/>
  <c r="V856" i="8"/>
  <c r="U856" i="8"/>
  <c r="T856" i="8"/>
  <c r="S856" i="8"/>
  <c r="R856" i="8"/>
  <c r="Q856" i="8"/>
  <c r="P856" i="8"/>
  <c r="O856" i="8"/>
  <c r="E856" i="8"/>
  <c r="D856" i="8"/>
  <c r="E855" i="8"/>
  <c r="D855" i="8"/>
  <c r="E851" i="8"/>
  <c r="D851" i="8"/>
  <c r="O850" i="8"/>
  <c r="E850" i="8"/>
  <c r="D850" i="8"/>
  <c r="E849" i="8"/>
  <c r="D849" i="8"/>
  <c r="E848" i="8"/>
  <c r="D848" i="8"/>
  <c r="AM847" i="8"/>
  <c r="AL847" i="8"/>
  <c r="AK847" i="8"/>
  <c r="AJ847" i="8"/>
  <c r="AI847" i="8"/>
  <c r="AH847" i="8"/>
  <c r="AG847" i="8"/>
  <c r="AF847" i="8"/>
  <c r="AE847" i="8"/>
  <c r="AD847" i="8"/>
  <c r="AC847" i="8"/>
  <c r="AB847" i="8"/>
  <c r="AA847" i="8"/>
  <c r="Z847" i="8"/>
  <c r="Y847" i="8"/>
  <c r="X847" i="8"/>
  <c r="W847" i="8"/>
  <c r="V847" i="8"/>
  <c r="U847" i="8"/>
  <c r="T847" i="8"/>
  <c r="S847" i="8"/>
  <c r="R847" i="8"/>
  <c r="Q847" i="8"/>
  <c r="P847" i="8"/>
  <c r="O847" i="8"/>
  <c r="E847" i="8"/>
  <c r="D847" i="8"/>
  <c r="E846" i="8"/>
  <c r="D846" i="8"/>
  <c r="E842" i="8"/>
  <c r="D842" i="8"/>
  <c r="O841" i="8"/>
  <c r="E841" i="8"/>
  <c r="D841" i="8"/>
  <c r="E840" i="8"/>
  <c r="D840" i="8"/>
  <c r="E839" i="8"/>
  <c r="D839" i="8"/>
  <c r="AM838" i="8"/>
  <c r="AL838" i="8"/>
  <c r="AK838" i="8"/>
  <c r="AJ838" i="8"/>
  <c r="AI838" i="8"/>
  <c r="AH838" i="8"/>
  <c r="AG838" i="8"/>
  <c r="AF838" i="8"/>
  <c r="AE838" i="8"/>
  <c r="AD838" i="8"/>
  <c r="AC838" i="8"/>
  <c r="AB838" i="8"/>
  <c r="AA838" i="8"/>
  <c r="Z838" i="8"/>
  <c r="Y838" i="8"/>
  <c r="X838" i="8"/>
  <c r="W838" i="8"/>
  <c r="V838" i="8"/>
  <c r="U838" i="8"/>
  <c r="T838" i="8"/>
  <c r="S838" i="8"/>
  <c r="R838" i="8"/>
  <c r="Q838" i="8"/>
  <c r="P838" i="8"/>
  <c r="O838" i="8"/>
  <c r="E838" i="8"/>
  <c r="D838" i="8"/>
  <c r="E837" i="8"/>
  <c r="D837" i="8"/>
  <c r="E833" i="8"/>
  <c r="D833" i="8"/>
  <c r="O832" i="8"/>
  <c r="E832" i="8"/>
  <c r="D832" i="8"/>
  <c r="E831" i="8"/>
  <c r="D831" i="8"/>
  <c r="E830" i="8"/>
  <c r="D830" i="8"/>
  <c r="AM829" i="8"/>
  <c r="AL829" i="8"/>
  <c r="AK829" i="8"/>
  <c r="AJ829" i="8"/>
  <c r="AI829" i="8"/>
  <c r="AH829" i="8"/>
  <c r="AG829" i="8"/>
  <c r="AF829" i="8"/>
  <c r="AE829" i="8"/>
  <c r="AD829" i="8"/>
  <c r="AC829" i="8"/>
  <c r="AB829" i="8"/>
  <c r="AA829" i="8"/>
  <c r="Z829" i="8"/>
  <c r="Y829" i="8"/>
  <c r="X829" i="8"/>
  <c r="W829" i="8"/>
  <c r="V829" i="8"/>
  <c r="U829" i="8"/>
  <c r="T829" i="8"/>
  <c r="S829" i="8"/>
  <c r="R829" i="8"/>
  <c r="Q829" i="8"/>
  <c r="P829" i="8"/>
  <c r="O829" i="8"/>
  <c r="E829" i="8"/>
  <c r="D829" i="8"/>
  <c r="E828" i="8"/>
  <c r="D828" i="8"/>
  <c r="E824" i="8"/>
  <c r="O823" i="8"/>
  <c r="E823" i="8"/>
  <c r="E822" i="8"/>
  <c r="E821" i="8"/>
  <c r="AM820" i="8"/>
  <c r="AL820" i="8"/>
  <c r="AK820" i="8"/>
  <c r="AJ820" i="8"/>
  <c r="AI820" i="8"/>
  <c r="AH820" i="8"/>
  <c r="AG820" i="8"/>
  <c r="AF820" i="8"/>
  <c r="AE820" i="8"/>
  <c r="AD820" i="8"/>
  <c r="AC820" i="8"/>
  <c r="AB820" i="8"/>
  <c r="AA820" i="8"/>
  <c r="Z820" i="8"/>
  <c r="Y820" i="8"/>
  <c r="X820" i="8"/>
  <c r="W820" i="8"/>
  <c r="V820" i="8"/>
  <c r="U820" i="8"/>
  <c r="T820" i="8"/>
  <c r="S820" i="8"/>
  <c r="R820" i="8"/>
  <c r="Q820" i="8"/>
  <c r="P820" i="8"/>
  <c r="O820" i="8"/>
  <c r="E820" i="8"/>
  <c r="E819" i="8"/>
  <c r="E815" i="8"/>
  <c r="D815" i="8"/>
  <c r="O814" i="8"/>
  <c r="E814" i="8"/>
  <c r="D814" i="8"/>
  <c r="E813" i="8"/>
  <c r="D813" i="8"/>
  <c r="E812" i="8"/>
  <c r="D812" i="8"/>
  <c r="AM811" i="8"/>
  <c r="AL811" i="8"/>
  <c r="AK811" i="8"/>
  <c r="AJ811" i="8"/>
  <c r="AI811" i="8"/>
  <c r="AH811" i="8"/>
  <c r="AG811" i="8"/>
  <c r="AF811" i="8"/>
  <c r="AE811" i="8"/>
  <c r="AD811" i="8"/>
  <c r="AC811" i="8"/>
  <c r="AB811" i="8"/>
  <c r="AA811" i="8"/>
  <c r="Z811" i="8"/>
  <c r="Y811" i="8"/>
  <c r="X811" i="8"/>
  <c r="W811" i="8"/>
  <c r="V811" i="8"/>
  <c r="U811" i="8"/>
  <c r="T811" i="8"/>
  <c r="S811" i="8"/>
  <c r="R811" i="8"/>
  <c r="Q811" i="8"/>
  <c r="P811" i="8"/>
  <c r="O811" i="8"/>
  <c r="E811" i="8"/>
  <c r="D811" i="8"/>
  <c r="E810" i="8"/>
  <c r="D810" i="8"/>
  <c r="L806" i="8"/>
  <c r="K806" i="8"/>
  <c r="E806" i="8"/>
  <c r="D806" i="8"/>
  <c r="O805" i="8"/>
  <c r="E805" i="8"/>
  <c r="D805" i="8"/>
  <c r="E804" i="8"/>
  <c r="D804" i="8"/>
  <c r="E803" i="8"/>
  <c r="D803" i="8"/>
  <c r="AM802" i="8"/>
  <c r="AL802" i="8"/>
  <c r="AK802" i="8"/>
  <c r="AJ802" i="8"/>
  <c r="AI802" i="8"/>
  <c r="AH802" i="8"/>
  <c r="AG802" i="8"/>
  <c r="AF802" i="8"/>
  <c r="AE802" i="8"/>
  <c r="AD802" i="8"/>
  <c r="AC802" i="8"/>
  <c r="AB802" i="8"/>
  <c r="AA802" i="8"/>
  <c r="Z802" i="8"/>
  <c r="Y802" i="8"/>
  <c r="X802" i="8"/>
  <c r="W802" i="8"/>
  <c r="V802" i="8"/>
  <c r="U802" i="8"/>
  <c r="T802" i="8"/>
  <c r="S802" i="8"/>
  <c r="R802" i="8"/>
  <c r="Q802" i="8"/>
  <c r="P802" i="8"/>
  <c r="O802" i="8"/>
  <c r="E802" i="8"/>
  <c r="D802" i="8"/>
  <c r="L801" i="8"/>
  <c r="K801" i="8"/>
  <c r="E801" i="8"/>
  <c r="D801" i="8"/>
  <c r="E797" i="8"/>
  <c r="D797" i="8"/>
  <c r="O796" i="8"/>
  <c r="E796" i="8"/>
  <c r="D796" i="8"/>
  <c r="E795" i="8"/>
  <c r="D795" i="8"/>
  <c r="E794" i="8"/>
  <c r="D794" i="8"/>
  <c r="AM793" i="8"/>
  <c r="AL793" i="8"/>
  <c r="AK793" i="8"/>
  <c r="AJ793" i="8"/>
  <c r="AI793" i="8"/>
  <c r="AH793" i="8"/>
  <c r="AG793" i="8"/>
  <c r="AF793" i="8"/>
  <c r="AE793" i="8"/>
  <c r="AD793" i="8"/>
  <c r="AC793" i="8"/>
  <c r="AB793" i="8"/>
  <c r="AA793" i="8"/>
  <c r="Z793" i="8"/>
  <c r="Y793" i="8"/>
  <c r="X793" i="8"/>
  <c r="W793" i="8"/>
  <c r="V793" i="8"/>
  <c r="U793" i="8"/>
  <c r="T793" i="8"/>
  <c r="S793" i="8"/>
  <c r="R793" i="8"/>
  <c r="Q793" i="8"/>
  <c r="P793" i="8"/>
  <c r="O793" i="8"/>
  <c r="E793" i="8"/>
  <c r="D793" i="8"/>
  <c r="E792" i="8"/>
  <c r="D792" i="8"/>
  <c r="M788" i="8"/>
  <c r="L788" i="8"/>
  <c r="K788" i="8"/>
  <c r="K783" i="8" s="1"/>
  <c r="E788" i="8"/>
  <c r="D788" i="8"/>
  <c r="O787" i="8"/>
  <c r="E787" i="8"/>
  <c r="D787" i="8"/>
  <c r="E786" i="8"/>
  <c r="D786" i="8"/>
  <c r="E785" i="8"/>
  <c r="D785" i="8"/>
  <c r="AM784" i="8"/>
  <c r="AL784" i="8"/>
  <c r="AK784" i="8"/>
  <c r="AJ784" i="8"/>
  <c r="AI784" i="8"/>
  <c r="AH784" i="8"/>
  <c r="AG784" i="8"/>
  <c r="AF784" i="8"/>
  <c r="AE784" i="8"/>
  <c r="AD784" i="8"/>
  <c r="AC784" i="8"/>
  <c r="AB784" i="8"/>
  <c r="AA784" i="8"/>
  <c r="Z784" i="8"/>
  <c r="Y784" i="8"/>
  <c r="X784" i="8"/>
  <c r="W784" i="8"/>
  <c r="V784" i="8"/>
  <c r="U784" i="8"/>
  <c r="T784" i="8"/>
  <c r="S784" i="8"/>
  <c r="R784" i="8"/>
  <c r="Q784" i="8"/>
  <c r="P784" i="8"/>
  <c r="O784" i="8"/>
  <c r="E784" i="8"/>
  <c r="D784" i="8"/>
  <c r="L783" i="8"/>
  <c r="E783" i="8"/>
  <c r="D783" i="8"/>
  <c r="L776" i="8"/>
  <c r="K776" i="8"/>
  <c r="E776" i="8"/>
  <c r="D776" i="8"/>
  <c r="O775" i="8"/>
  <c r="E775" i="8"/>
  <c r="D775" i="8"/>
  <c r="E774" i="8"/>
  <c r="D774" i="8"/>
  <c r="E773" i="8"/>
  <c r="D773" i="8"/>
  <c r="AM772" i="8"/>
  <c r="AL772" i="8"/>
  <c r="AK772" i="8"/>
  <c r="AJ772" i="8"/>
  <c r="AI772" i="8"/>
  <c r="AH772" i="8"/>
  <c r="AG772" i="8"/>
  <c r="AF772" i="8"/>
  <c r="AE772" i="8"/>
  <c r="AD772" i="8"/>
  <c r="AC772" i="8"/>
  <c r="AB772" i="8"/>
  <c r="AA772" i="8"/>
  <c r="Z772" i="8"/>
  <c r="Y772" i="8"/>
  <c r="X772" i="8"/>
  <c r="W772" i="8"/>
  <c r="V772" i="8"/>
  <c r="U772" i="8"/>
  <c r="T772" i="8"/>
  <c r="S772" i="8"/>
  <c r="R772" i="8"/>
  <c r="Q772" i="8"/>
  <c r="P772" i="8"/>
  <c r="O772" i="8"/>
  <c r="E772" i="8"/>
  <c r="D772" i="8"/>
  <c r="L771" i="8"/>
  <c r="K771" i="8"/>
  <c r="E771" i="8"/>
  <c r="D771" i="8"/>
  <c r="E767" i="8"/>
  <c r="D767" i="8"/>
  <c r="O766" i="8"/>
  <c r="E766" i="8"/>
  <c r="D766" i="8"/>
  <c r="E765" i="8"/>
  <c r="D765" i="8"/>
  <c r="E764" i="8"/>
  <c r="D764" i="8"/>
  <c r="AM763" i="8"/>
  <c r="AL763" i="8"/>
  <c r="AK763" i="8"/>
  <c r="AJ763" i="8"/>
  <c r="AI763" i="8"/>
  <c r="AH763" i="8"/>
  <c r="AG763" i="8"/>
  <c r="AF763" i="8"/>
  <c r="AE763" i="8"/>
  <c r="AD763" i="8"/>
  <c r="AC763" i="8"/>
  <c r="AB763" i="8"/>
  <c r="AA763" i="8"/>
  <c r="Z763" i="8"/>
  <c r="Y763" i="8"/>
  <c r="X763" i="8"/>
  <c r="W763" i="8"/>
  <c r="V763" i="8"/>
  <c r="U763" i="8"/>
  <c r="T763" i="8"/>
  <c r="S763" i="8"/>
  <c r="R763" i="8"/>
  <c r="Q763" i="8"/>
  <c r="P763" i="8"/>
  <c r="O763" i="8"/>
  <c r="E763" i="8"/>
  <c r="D763" i="8"/>
  <c r="E762" i="8"/>
  <c r="D762" i="8"/>
  <c r="L758" i="8"/>
  <c r="L753" i="8" s="1"/>
  <c r="K758" i="8"/>
  <c r="K753" i="8" s="1"/>
  <c r="E758" i="8"/>
  <c r="D758" i="8"/>
  <c r="O757" i="8"/>
  <c r="E757" i="8"/>
  <c r="D757" i="8"/>
  <c r="E756" i="8"/>
  <c r="D756" i="8"/>
  <c r="E755" i="8"/>
  <c r="D755" i="8"/>
  <c r="AM754" i="8"/>
  <c r="AL754" i="8"/>
  <c r="AK754" i="8"/>
  <c r="AJ754" i="8"/>
  <c r="AI754" i="8"/>
  <c r="AH754" i="8"/>
  <c r="AG754" i="8"/>
  <c r="AF754" i="8"/>
  <c r="AE754" i="8"/>
  <c r="AD754" i="8"/>
  <c r="AC754" i="8"/>
  <c r="AB754" i="8"/>
  <c r="AA754" i="8"/>
  <c r="Z754" i="8"/>
  <c r="Y754" i="8"/>
  <c r="X754" i="8"/>
  <c r="W754" i="8"/>
  <c r="V754" i="8"/>
  <c r="U754" i="8"/>
  <c r="T754" i="8"/>
  <c r="S754" i="8"/>
  <c r="R754" i="8"/>
  <c r="Q754" i="8"/>
  <c r="P754" i="8"/>
  <c r="O754" i="8"/>
  <c r="E754" i="8"/>
  <c r="D754" i="8"/>
  <c r="E753" i="8"/>
  <c r="D753" i="8"/>
  <c r="M749" i="8"/>
  <c r="L749" i="8"/>
  <c r="L744" i="8" s="1"/>
  <c r="K749" i="8"/>
  <c r="K744" i="8" s="1"/>
  <c r="E749" i="8"/>
  <c r="D749" i="8"/>
  <c r="O748" i="8"/>
  <c r="E748" i="8"/>
  <c r="D748" i="8"/>
  <c r="E747" i="8"/>
  <c r="D747" i="8"/>
  <c r="E746" i="8"/>
  <c r="D746" i="8"/>
  <c r="AM745" i="8"/>
  <c r="AL745" i="8"/>
  <c r="AK745" i="8"/>
  <c r="AJ745" i="8"/>
  <c r="AI745" i="8"/>
  <c r="AH745" i="8"/>
  <c r="AG745" i="8"/>
  <c r="AF745" i="8"/>
  <c r="AE745" i="8"/>
  <c r="AD745" i="8"/>
  <c r="AC745" i="8"/>
  <c r="AB745" i="8"/>
  <c r="AA745" i="8"/>
  <c r="Z745" i="8"/>
  <c r="Y745" i="8"/>
  <c r="X745" i="8"/>
  <c r="W745" i="8"/>
  <c r="V745" i="8"/>
  <c r="U745" i="8"/>
  <c r="T745" i="8"/>
  <c r="S745" i="8"/>
  <c r="R745" i="8"/>
  <c r="Q745" i="8"/>
  <c r="P745" i="8"/>
  <c r="O745" i="8"/>
  <c r="E745" i="8"/>
  <c r="D745" i="8"/>
  <c r="E744" i="8"/>
  <c r="D744" i="8"/>
  <c r="E740" i="8"/>
  <c r="D740" i="8"/>
  <c r="O739" i="8"/>
  <c r="E739" i="8"/>
  <c r="D739" i="8"/>
  <c r="E738" i="8"/>
  <c r="D738" i="8"/>
  <c r="E737" i="8"/>
  <c r="D737" i="8"/>
  <c r="AM736" i="8"/>
  <c r="AL736" i="8"/>
  <c r="AK736" i="8"/>
  <c r="AJ736" i="8"/>
  <c r="AI736" i="8"/>
  <c r="AH736" i="8"/>
  <c r="AG736" i="8"/>
  <c r="AF736" i="8"/>
  <c r="AE736" i="8"/>
  <c r="AD736" i="8"/>
  <c r="AC736" i="8"/>
  <c r="AB736" i="8"/>
  <c r="AA736" i="8"/>
  <c r="Z736" i="8"/>
  <c r="Y736" i="8"/>
  <c r="X736" i="8"/>
  <c r="W736" i="8"/>
  <c r="V736" i="8"/>
  <c r="U736" i="8"/>
  <c r="T736" i="8"/>
  <c r="S736" i="8"/>
  <c r="R736" i="8"/>
  <c r="Q736" i="8"/>
  <c r="P736" i="8"/>
  <c r="O736" i="8"/>
  <c r="E736" i="8"/>
  <c r="D736" i="8"/>
  <c r="E735" i="8"/>
  <c r="D735" i="8"/>
  <c r="L731" i="8"/>
  <c r="L726" i="8" s="1"/>
  <c r="K731" i="8"/>
  <c r="E731" i="8"/>
  <c r="O730" i="8"/>
  <c r="E730" i="8"/>
  <c r="E729" i="8"/>
  <c r="E728" i="8"/>
  <c r="AM727" i="8"/>
  <c r="AL727" i="8"/>
  <c r="AK727" i="8"/>
  <c r="AJ727" i="8"/>
  <c r="AI727" i="8"/>
  <c r="AH727" i="8"/>
  <c r="AG727" i="8"/>
  <c r="AF727" i="8"/>
  <c r="AE727" i="8"/>
  <c r="AD727" i="8"/>
  <c r="AC727" i="8"/>
  <c r="AB727" i="8"/>
  <c r="AA727" i="8"/>
  <c r="Z727" i="8"/>
  <c r="Y727" i="8"/>
  <c r="X727" i="8"/>
  <c r="W727" i="8"/>
  <c r="V727" i="8"/>
  <c r="U727" i="8"/>
  <c r="T727" i="8"/>
  <c r="S727" i="8"/>
  <c r="R727" i="8"/>
  <c r="Q727" i="8"/>
  <c r="P727" i="8"/>
  <c r="O727" i="8"/>
  <c r="E727" i="8"/>
  <c r="K726" i="8"/>
  <c r="E726" i="8"/>
  <c r="E722" i="8"/>
  <c r="D722" i="8"/>
  <c r="O721" i="8"/>
  <c r="E721" i="8"/>
  <c r="D721" i="8"/>
  <c r="E720" i="8"/>
  <c r="D720" i="8"/>
  <c r="E719" i="8"/>
  <c r="D719" i="8"/>
  <c r="AM718" i="8"/>
  <c r="AL718" i="8"/>
  <c r="AK718" i="8"/>
  <c r="AJ718" i="8"/>
  <c r="AI718" i="8"/>
  <c r="AH718" i="8"/>
  <c r="AG718" i="8"/>
  <c r="AF718" i="8"/>
  <c r="AE718" i="8"/>
  <c r="AD718" i="8"/>
  <c r="AC718" i="8"/>
  <c r="AB718" i="8"/>
  <c r="AA718" i="8"/>
  <c r="Z718" i="8"/>
  <c r="Y718" i="8"/>
  <c r="X718" i="8"/>
  <c r="W718" i="8"/>
  <c r="V718" i="8"/>
  <c r="U718" i="8"/>
  <c r="T718" i="8"/>
  <c r="S718" i="8"/>
  <c r="R718" i="8"/>
  <c r="Q718" i="8"/>
  <c r="P718" i="8"/>
  <c r="O718" i="8"/>
  <c r="E718" i="8"/>
  <c r="D718" i="8"/>
  <c r="E717" i="8"/>
  <c r="D717" i="8"/>
  <c r="L713" i="8"/>
  <c r="K713" i="8"/>
  <c r="E713" i="8"/>
  <c r="D713" i="8"/>
  <c r="O712" i="8"/>
  <c r="E712" i="8"/>
  <c r="D712" i="8"/>
  <c r="E711" i="8"/>
  <c r="D711" i="8"/>
  <c r="E710" i="8"/>
  <c r="D710" i="8"/>
  <c r="AM709" i="8"/>
  <c r="AL709" i="8"/>
  <c r="AK709" i="8"/>
  <c r="AJ709" i="8"/>
  <c r="AI709" i="8"/>
  <c r="AH709" i="8"/>
  <c r="AG709" i="8"/>
  <c r="AF709" i="8"/>
  <c r="AE709" i="8"/>
  <c r="AD709" i="8"/>
  <c r="AC709" i="8"/>
  <c r="AB709" i="8"/>
  <c r="AA709" i="8"/>
  <c r="Z709" i="8"/>
  <c r="Y709" i="8"/>
  <c r="X709" i="8"/>
  <c r="W709" i="8"/>
  <c r="V709" i="8"/>
  <c r="U709" i="8"/>
  <c r="T709" i="8"/>
  <c r="S709" i="8"/>
  <c r="R709" i="8"/>
  <c r="Q709" i="8"/>
  <c r="P709" i="8"/>
  <c r="O709" i="8"/>
  <c r="E709" i="8"/>
  <c r="D709" i="8"/>
  <c r="L708" i="8"/>
  <c r="K708" i="8"/>
  <c r="E708" i="8"/>
  <c r="D708" i="8"/>
  <c r="E704" i="8"/>
  <c r="D704" i="8"/>
  <c r="O703" i="8"/>
  <c r="E703" i="8"/>
  <c r="D703" i="8"/>
  <c r="E702" i="8"/>
  <c r="D702" i="8"/>
  <c r="E701" i="8"/>
  <c r="D701" i="8"/>
  <c r="AM700" i="8"/>
  <c r="AL700" i="8"/>
  <c r="AK700" i="8"/>
  <c r="AJ700" i="8"/>
  <c r="AI700" i="8"/>
  <c r="AH700" i="8"/>
  <c r="AG700" i="8"/>
  <c r="AF700" i="8"/>
  <c r="AE700" i="8"/>
  <c r="AD700" i="8"/>
  <c r="AC700" i="8"/>
  <c r="AB700" i="8"/>
  <c r="AA700" i="8"/>
  <c r="Z700" i="8"/>
  <c r="Y700" i="8"/>
  <c r="X700" i="8"/>
  <c r="W700" i="8"/>
  <c r="V700" i="8"/>
  <c r="U700" i="8"/>
  <c r="T700" i="8"/>
  <c r="S700" i="8"/>
  <c r="R700" i="8"/>
  <c r="Q700" i="8"/>
  <c r="P700" i="8"/>
  <c r="O700" i="8"/>
  <c r="E700" i="8"/>
  <c r="D700" i="8"/>
  <c r="E699" i="8"/>
  <c r="D699" i="8"/>
  <c r="M695" i="8"/>
  <c r="L695" i="8"/>
  <c r="K695" i="8"/>
  <c r="E695" i="8"/>
  <c r="D695" i="8"/>
  <c r="N694" i="8"/>
  <c r="E694" i="8"/>
  <c r="D694" i="8"/>
  <c r="E693" i="8"/>
  <c r="D693" i="8"/>
  <c r="N692" i="8"/>
  <c r="N33" i="13" s="1"/>
  <c r="E692" i="8"/>
  <c r="D692" i="8"/>
  <c r="AM691" i="8"/>
  <c r="AL691" i="8"/>
  <c r="AK691" i="8"/>
  <c r="AJ691" i="8"/>
  <c r="AI691" i="8"/>
  <c r="AH691" i="8"/>
  <c r="AG691" i="8"/>
  <c r="AF691" i="8"/>
  <c r="AE691" i="8"/>
  <c r="AD691" i="8"/>
  <c r="AC691" i="8"/>
  <c r="AB691" i="8"/>
  <c r="AA691" i="8"/>
  <c r="Z691" i="8"/>
  <c r="Y691" i="8"/>
  <c r="X691" i="8"/>
  <c r="W691" i="8"/>
  <c r="V691" i="8"/>
  <c r="U691" i="8"/>
  <c r="T691" i="8"/>
  <c r="S691" i="8"/>
  <c r="R691" i="8"/>
  <c r="Q691" i="8"/>
  <c r="P691" i="8"/>
  <c r="O691" i="8"/>
  <c r="N691" i="8"/>
  <c r="E691" i="8"/>
  <c r="D691" i="8"/>
  <c r="N690" i="8"/>
  <c r="O694" i="8" s="1"/>
  <c r="L690" i="8"/>
  <c r="K690" i="8"/>
  <c r="E690" i="8"/>
  <c r="D690" i="8"/>
  <c r="L682" i="8"/>
  <c r="K682" i="8"/>
  <c r="E682" i="8"/>
  <c r="D682" i="8"/>
  <c r="O681" i="8"/>
  <c r="E681" i="8"/>
  <c r="D681" i="8"/>
  <c r="E680" i="8"/>
  <c r="D680" i="8"/>
  <c r="E679" i="8"/>
  <c r="D679" i="8"/>
  <c r="AM678" i="8"/>
  <c r="AL678" i="8"/>
  <c r="AK678" i="8"/>
  <c r="AJ678" i="8"/>
  <c r="AI678" i="8"/>
  <c r="AH678" i="8"/>
  <c r="AG678" i="8"/>
  <c r="AF678" i="8"/>
  <c r="AE678" i="8"/>
  <c r="AD678" i="8"/>
  <c r="AC678" i="8"/>
  <c r="AB678" i="8"/>
  <c r="AA678" i="8"/>
  <c r="Z678" i="8"/>
  <c r="Y678" i="8"/>
  <c r="X678" i="8"/>
  <c r="W678" i="8"/>
  <c r="V678" i="8"/>
  <c r="U678" i="8"/>
  <c r="T678" i="8"/>
  <c r="S678" i="8"/>
  <c r="R678" i="8"/>
  <c r="Q678" i="8"/>
  <c r="P678" i="8"/>
  <c r="O678" i="8"/>
  <c r="E678" i="8"/>
  <c r="D678" i="8"/>
  <c r="L677" i="8"/>
  <c r="K677" i="8"/>
  <c r="E677" i="8"/>
  <c r="D677" i="8"/>
  <c r="E673" i="8"/>
  <c r="D673" i="8"/>
  <c r="O672" i="8"/>
  <c r="E672" i="8"/>
  <c r="D672" i="8"/>
  <c r="E671" i="8"/>
  <c r="D671" i="8"/>
  <c r="E670" i="8"/>
  <c r="D670" i="8"/>
  <c r="AM669" i="8"/>
  <c r="AL669" i="8"/>
  <c r="AK669" i="8"/>
  <c r="AJ669" i="8"/>
  <c r="AI669" i="8"/>
  <c r="AH669" i="8"/>
  <c r="AG669" i="8"/>
  <c r="AF669" i="8"/>
  <c r="AE669" i="8"/>
  <c r="AD669" i="8"/>
  <c r="AC669" i="8"/>
  <c r="AB669" i="8"/>
  <c r="AA669" i="8"/>
  <c r="Z669" i="8"/>
  <c r="Y669" i="8"/>
  <c r="X669" i="8"/>
  <c r="W669" i="8"/>
  <c r="V669" i="8"/>
  <c r="U669" i="8"/>
  <c r="T669" i="8"/>
  <c r="S669" i="8"/>
  <c r="R669" i="8"/>
  <c r="Q669" i="8"/>
  <c r="P669" i="8"/>
  <c r="O669" i="8"/>
  <c r="E669" i="8"/>
  <c r="D669" i="8"/>
  <c r="E668" i="8"/>
  <c r="D668" i="8"/>
  <c r="L664" i="8"/>
  <c r="K664" i="8"/>
  <c r="E664" i="8"/>
  <c r="D664" i="8"/>
  <c r="O663" i="8"/>
  <c r="E663" i="8"/>
  <c r="D663" i="8"/>
  <c r="E662" i="8"/>
  <c r="D662" i="8"/>
  <c r="E661" i="8"/>
  <c r="D661" i="8"/>
  <c r="AM660" i="8"/>
  <c r="AL660" i="8"/>
  <c r="AK660" i="8"/>
  <c r="AJ660" i="8"/>
  <c r="AI660" i="8"/>
  <c r="AH660" i="8"/>
  <c r="AG660" i="8"/>
  <c r="AF660" i="8"/>
  <c r="AE660" i="8"/>
  <c r="AD660" i="8"/>
  <c r="AC660" i="8"/>
  <c r="AB660" i="8"/>
  <c r="AA660" i="8"/>
  <c r="Z660" i="8"/>
  <c r="Y660" i="8"/>
  <c r="X660" i="8"/>
  <c r="W660" i="8"/>
  <c r="V660" i="8"/>
  <c r="U660" i="8"/>
  <c r="T660" i="8"/>
  <c r="S660" i="8"/>
  <c r="R660" i="8"/>
  <c r="Q660" i="8"/>
  <c r="P660" i="8"/>
  <c r="O660" i="8"/>
  <c r="E660" i="8"/>
  <c r="D660" i="8"/>
  <c r="L659" i="8"/>
  <c r="K659" i="8"/>
  <c r="E659" i="8"/>
  <c r="D659" i="8"/>
  <c r="L655" i="8"/>
  <c r="K655" i="8"/>
  <c r="K650" i="8" s="1"/>
  <c r="E655" i="8"/>
  <c r="D655" i="8"/>
  <c r="O654" i="8"/>
  <c r="E654" i="8"/>
  <c r="D654" i="8"/>
  <c r="E653" i="8"/>
  <c r="D653" i="8"/>
  <c r="E652" i="8"/>
  <c r="D652" i="8"/>
  <c r="AM651" i="8"/>
  <c r="AL651" i="8"/>
  <c r="AK651" i="8"/>
  <c r="AJ651" i="8"/>
  <c r="AI651" i="8"/>
  <c r="AH651" i="8"/>
  <c r="AG651" i="8"/>
  <c r="AF651" i="8"/>
  <c r="AE651" i="8"/>
  <c r="AD651" i="8"/>
  <c r="AC651" i="8"/>
  <c r="AB651" i="8"/>
  <c r="AA651" i="8"/>
  <c r="Z651" i="8"/>
  <c r="Y651" i="8"/>
  <c r="X651" i="8"/>
  <c r="W651" i="8"/>
  <c r="V651" i="8"/>
  <c r="U651" i="8"/>
  <c r="T651" i="8"/>
  <c r="S651" i="8"/>
  <c r="R651" i="8"/>
  <c r="Q651" i="8"/>
  <c r="P651" i="8"/>
  <c r="O651" i="8"/>
  <c r="E651" i="8"/>
  <c r="D651" i="8"/>
  <c r="L650" i="8"/>
  <c r="E650" i="8"/>
  <c r="D650" i="8"/>
  <c r="E646" i="8"/>
  <c r="D646" i="8"/>
  <c r="O645" i="8"/>
  <c r="E645" i="8"/>
  <c r="D645" i="8"/>
  <c r="E644" i="8"/>
  <c r="D644" i="8"/>
  <c r="E643" i="8"/>
  <c r="D643" i="8"/>
  <c r="AM642" i="8"/>
  <c r="AL642" i="8"/>
  <c r="AK642" i="8"/>
  <c r="AJ642" i="8"/>
  <c r="AI642" i="8"/>
  <c r="AH642" i="8"/>
  <c r="AG642" i="8"/>
  <c r="AF642" i="8"/>
  <c r="AE642" i="8"/>
  <c r="AD642" i="8"/>
  <c r="AC642" i="8"/>
  <c r="AB642" i="8"/>
  <c r="AA642" i="8"/>
  <c r="Z642" i="8"/>
  <c r="Y642" i="8"/>
  <c r="X642" i="8"/>
  <c r="W642" i="8"/>
  <c r="V642" i="8"/>
  <c r="U642" i="8"/>
  <c r="T642" i="8"/>
  <c r="S642" i="8"/>
  <c r="R642" i="8"/>
  <c r="Q642" i="8"/>
  <c r="P642" i="8"/>
  <c r="O642" i="8"/>
  <c r="E642" i="8"/>
  <c r="D642" i="8"/>
  <c r="E641" i="8"/>
  <c r="D641" i="8"/>
  <c r="M637" i="8"/>
  <c r="L637" i="8"/>
  <c r="L632" i="8" s="1"/>
  <c r="K637" i="8"/>
  <c r="E637" i="8"/>
  <c r="O636" i="8"/>
  <c r="E636" i="8"/>
  <c r="E635" i="8"/>
  <c r="E634" i="8"/>
  <c r="AM633" i="8"/>
  <c r="AL633" i="8"/>
  <c r="AK633" i="8"/>
  <c r="AJ633" i="8"/>
  <c r="AI633" i="8"/>
  <c r="AH633" i="8"/>
  <c r="AG633" i="8"/>
  <c r="AF633" i="8"/>
  <c r="AE633" i="8"/>
  <c r="AD633" i="8"/>
  <c r="AC633" i="8"/>
  <c r="AB633" i="8"/>
  <c r="AA633" i="8"/>
  <c r="Z633" i="8"/>
  <c r="Y633" i="8"/>
  <c r="X633" i="8"/>
  <c r="W633" i="8"/>
  <c r="V633" i="8"/>
  <c r="U633" i="8"/>
  <c r="T633" i="8"/>
  <c r="S633" i="8"/>
  <c r="R633" i="8"/>
  <c r="Q633" i="8"/>
  <c r="P633" i="8"/>
  <c r="O633" i="8"/>
  <c r="E633" i="8"/>
  <c r="K632" i="8"/>
  <c r="E632" i="8"/>
  <c r="E628" i="8"/>
  <c r="D628" i="8"/>
  <c r="O627" i="8"/>
  <c r="E627" i="8"/>
  <c r="D627" i="8"/>
  <c r="E626" i="8"/>
  <c r="D626" i="8"/>
  <c r="E625" i="8"/>
  <c r="D625" i="8"/>
  <c r="AM624" i="8"/>
  <c r="AL624" i="8"/>
  <c r="AK624" i="8"/>
  <c r="AJ624" i="8"/>
  <c r="AI624" i="8"/>
  <c r="AH624" i="8"/>
  <c r="AG624" i="8"/>
  <c r="AF624" i="8"/>
  <c r="AE624" i="8"/>
  <c r="AD624" i="8"/>
  <c r="AC624" i="8"/>
  <c r="AB624" i="8"/>
  <c r="AA624" i="8"/>
  <c r="Z624" i="8"/>
  <c r="Y624" i="8"/>
  <c r="X624" i="8"/>
  <c r="W624" i="8"/>
  <c r="V624" i="8"/>
  <c r="U624" i="8"/>
  <c r="T624" i="8"/>
  <c r="S624" i="8"/>
  <c r="R624" i="8"/>
  <c r="Q624" i="8"/>
  <c r="P624" i="8"/>
  <c r="O624" i="8"/>
  <c r="E624" i="8"/>
  <c r="D624" i="8"/>
  <c r="E623" i="8"/>
  <c r="D623" i="8"/>
  <c r="L619" i="8"/>
  <c r="K619" i="8"/>
  <c r="E619" i="8"/>
  <c r="D619" i="8"/>
  <c r="O618" i="8"/>
  <c r="E618" i="8"/>
  <c r="D618" i="8"/>
  <c r="E617" i="8"/>
  <c r="D617" i="8"/>
  <c r="E616" i="8"/>
  <c r="D616" i="8"/>
  <c r="AM615" i="8"/>
  <c r="AL615" i="8"/>
  <c r="AK615" i="8"/>
  <c r="AJ615" i="8"/>
  <c r="AI615" i="8"/>
  <c r="AH615" i="8"/>
  <c r="AG615" i="8"/>
  <c r="AF615" i="8"/>
  <c r="AE615" i="8"/>
  <c r="AD615" i="8"/>
  <c r="AC615" i="8"/>
  <c r="AB615" i="8"/>
  <c r="AA615" i="8"/>
  <c r="Z615" i="8"/>
  <c r="Y615" i="8"/>
  <c r="X615" i="8"/>
  <c r="W615" i="8"/>
  <c r="V615" i="8"/>
  <c r="U615" i="8"/>
  <c r="T615" i="8"/>
  <c r="S615" i="8"/>
  <c r="R615" i="8"/>
  <c r="Q615" i="8"/>
  <c r="P615" i="8"/>
  <c r="O615" i="8"/>
  <c r="E615" i="8"/>
  <c r="D615" i="8"/>
  <c r="L614" i="8"/>
  <c r="K614" i="8"/>
  <c r="E614" i="8"/>
  <c r="D614" i="8"/>
  <c r="E610" i="8"/>
  <c r="D610" i="8"/>
  <c r="O609" i="8"/>
  <c r="E609" i="8"/>
  <c r="D609" i="8"/>
  <c r="E608" i="8"/>
  <c r="D608" i="8"/>
  <c r="E607" i="8"/>
  <c r="D607" i="8"/>
  <c r="AM606" i="8"/>
  <c r="AL606" i="8"/>
  <c r="AK606" i="8"/>
  <c r="AJ606" i="8"/>
  <c r="AI606" i="8"/>
  <c r="AH606" i="8"/>
  <c r="AG606" i="8"/>
  <c r="AF606" i="8"/>
  <c r="AE606" i="8"/>
  <c r="AD606" i="8"/>
  <c r="AC606" i="8"/>
  <c r="AB606" i="8"/>
  <c r="AA606" i="8"/>
  <c r="Z606" i="8"/>
  <c r="Y606" i="8"/>
  <c r="X606" i="8"/>
  <c r="W606" i="8"/>
  <c r="V606" i="8"/>
  <c r="U606" i="8"/>
  <c r="T606" i="8"/>
  <c r="S606" i="8"/>
  <c r="R606" i="8"/>
  <c r="Q606" i="8"/>
  <c r="P606" i="8"/>
  <c r="O606" i="8"/>
  <c r="E606" i="8"/>
  <c r="D606" i="8"/>
  <c r="E605" i="8"/>
  <c r="D605" i="8"/>
  <c r="M601" i="8"/>
  <c r="L601" i="8"/>
  <c r="L596" i="8" s="1"/>
  <c r="K601" i="8"/>
  <c r="E601" i="8"/>
  <c r="D601" i="8"/>
  <c r="N600" i="8"/>
  <c r="E600" i="8"/>
  <c r="D600" i="8"/>
  <c r="E599" i="8"/>
  <c r="D599" i="8"/>
  <c r="N598" i="8"/>
  <c r="E598" i="8"/>
  <c r="D598" i="8"/>
  <c r="AM597" i="8"/>
  <c r="AL597" i="8"/>
  <c r="AK597" i="8"/>
  <c r="AJ597" i="8"/>
  <c r="AI597" i="8"/>
  <c r="AH597" i="8"/>
  <c r="AG597" i="8"/>
  <c r="AF597" i="8"/>
  <c r="AE597" i="8"/>
  <c r="AD597" i="8"/>
  <c r="AC597" i="8"/>
  <c r="AB597" i="8"/>
  <c r="AA597" i="8"/>
  <c r="Z597" i="8"/>
  <c r="Y597" i="8"/>
  <c r="X597" i="8"/>
  <c r="W597" i="8"/>
  <c r="V597" i="8"/>
  <c r="U597" i="8"/>
  <c r="T597" i="8"/>
  <c r="S597" i="8"/>
  <c r="R597" i="8"/>
  <c r="Q597" i="8"/>
  <c r="P597" i="8"/>
  <c r="O597" i="8"/>
  <c r="N597" i="8"/>
  <c r="E597" i="8"/>
  <c r="D597" i="8"/>
  <c r="N596" i="8"/>
  <c r="O600" i="8" s="1"/>
  <c r="K596" i="8"/>
  <c r="E596" i="8"/>
  <c r="D596" i="8"/>
  <c r="L588" i="8"/>
  <c r="K588" i="8"/>
  <c r="E588" i="8"/>
  <c r="D588" i="8"/>
  <c r="N587" i="8"/>
  <c r="E587" i="8"/>
  <c r="D587" i="8"/>
  <c r="E586" i="8"/>
  <c r="D586" i="8"/>
  <c r="N585" i="8"/>
  <c r="E585" i="8"/>
  <c r="D585" i="8"/>
  <c r="AM584" i="8"/>
  <c r="AL584" i="8"/>
  <c r="AK584" i="8"/>
  <c r="AJ584" i="8"/>
  <c r="AI584" i="8"/>
  <c r="AH584" i="8"/>
  <c r="AG584" i="8"/>
  <c r="AF584" i="8"/>
  <c r="AE584" i="8"/>
  <c r="AD584" i="8"/>
  <c r="AC584" i="8"/>
  <c r="AB584" i="8"/>
  <c r="AA584" i="8"/>
  <c r="Z584" i="8"/>
  <c r="Y584" i="8"/>
  <c r="X584" i="8"/>
  <c r="W584" i="8"/>
  <c r="V584" i="8"/>
  <c r="U584" i="8"/>
  <c r="T584" i="8"/>
  <c r="S584" i="8"/>
  <c r="R584" i="8"/>
  <c r="Q584" i="8"/>
  <c r="P584" i="8"/>
  <c r="O584" i="8"/>
  <c r="N584" i="8"/>
  <c r="E584" i="8"/>
  <c r="D584" i="8"/>
  <c r="L583" i="8"/>
  <c r="K583" i="8"/>
  <c r="E583" i="8"/>
  <c r="D583" i="8"/>
  <c r="E579" i="8"/>
  <c r="D579" i="8"/>
  <c r="E578" i="8"/>
  <c r="D578" i="8"/>
  <c r="E577" i="8"/>
  <c r="D577" i="8"/>
  <c r="E576" i="8"/>
  <c r="D576" i="8"/>
  <c r="AM575" i="8"/>
  <c r="AL575" i="8"/>
  <c r="AK575" i="8"/>
  <c r="AJ575" i="8"/>
  <c r="AI575" i="8"/>
  <c r="AH575" i="8"/>
  <c r="AG575" i="8"/>
  <c r="AF575" i="8"/>
  <c r="AE575" i="8"/>
  <c r="AD575" i="8"/>
  <c r="AC575" i="8"/>
  <c r="AB575" i="8"/>
  <c r="AA575" i="8"/>
  <c r="Z575" i="8"/>
  <c r="Y575" i="8"/>
  <c r="X575" i="8"/>
  <c r="W575" i="8"/>
  <c r="V575" i="8"/>
  <c r="U575" i="8"/>
  <c r="T575" i="8"/>
  <c r="S575" i="8"/>
  <c r="R575" i="8"/>
  <c r="Q575" i="8"/>
  <c r="P575" i="8"/>
  <c r="O575" i="8"/>
  <c r="N575" i="8"/>
  <c r="E575" i="8"/>
  <c r="D575" i="8"/>
  <c r="E574" i="8"/>
  <c r="D574" i="8"/>
  <c r="E570" i="8"/>
  <c r="D570" i="8"/>
  <c r="E569" i="8"/>
  <c r="D569" i="8"/>
  <c r="E568" i="8"/>
  <c r="D568" i="8"/>
  <c r="E567" i="8"/>
  <c r="D567" i="8"/>
  <c r="AM566" i="8"/>
  <c r="AL566" i="8"/>
  <c r="AK566" i="8"/>
  <c r="AJ566" i="8"/>
  <c r="AI566" i="8"/>
  <c r="AH566" i="8"/>
  <c r="AG566" i="8"/>
  <c r="AF566" i="8"/>
  <c r="AE566" i="8"/>
  <c r="AD566" i="8"/>
  <c r="AC566" i="8"/>
  <c r="AB566" i="8"/>
  <c r="AA566" i="8"/>
  <c r="Z566" i="8"/>
  <c r="Y566" i="8"/>
  <c r="X566" i="8"/>
  <c r="W566" i="8"/>
  <c r="V566" i="8"/>
  <c r="U566" i="8"/>
  <c r="T566" i="8"/>
  <c r="S566" i="8"/>
  <c r="R566" i="8"/>
  <c r="Q566" i="8"/>
  <c r="P566" i="8"/>
  <c r="O566" i="8"/>
  <c r="N566" i="8"/>
  <c r="E566" i="8"/>
  <c r="D566" i="8"/>
  <c r="E565" i="8"/>
  <c r="D565" i="8"/>
  <c r="L561" i="8"/>
  <c r="K561" i="8"/>
  <c r="K556" i="8" s="1"/>
  <c r="E561" i="8"/>
  <c r="D561" i="8"/>
  <c r="N560" i="8"/>
  <c r="E560" i="8"/>
  <c r="D560" i="8"/>
  <c r="E559" i="8"/>
  <c r="D559" i="8"/>
  <c r="N558" i="8"/>
  <c r="E558" i="8"/>
  <c r="D558" i="8"/>
  <c r="AM557" i="8"/>
  <c r="AL557" i="8"/>
  <c r="AK557" i="8"/>
  <c r="AJ557" i="8"/>
  <c r="AI557" i="8"/>
  <c r="AH557" i="8"/>
  <c r="AG557" i="8"/>
  <c r="AF557" i="8"/>
  <c r="AE557" i="8"/>
  <c r="AD557" i="8"/>
  <c r="AC557" i="8"/>
  <c r="AB557" i="8"/>
  <c r="AA557" i="8"/>
  <c r="Z557" i="8"/>
  <c r="Y557" i="8"/>
  <c r="X557" i="8"/>
  <c r="W557" i="8"/>
  <c r="V557" i="8"/>
  <c r="U557" i="8"/>
  <c r="T557" i="8"/>
  <c r="S557" i="8"/>
  <c r="R557" i="8"/>
  <c r="Q557" i="8"/>
  <c r="P557" i="8"/>
  <c r="O557" i="8"/>
  <c r="N557" i="8"/>
  <c r="E557" i="8"/>
  <c r="D557" i="8"/>
  <c r="L556" i="8"/>
  <c r="E556" i="8"/>
  <c r="D556" i="8"/>
  <c r="L552" i="8"/>
  <c r="K552" i="8"/>
  <c r="E552" i="8"/>
  <c r="D552" i="8"/>
  <c r="N551" i="8"/>
  <c r="E551" i="8"/>
  <c r="D551" i="8"/>
  <c r="E550" i="8"/>
  <c r="D550" i="8"/>
  <c r="N549" i="8"/>
  <c r="E549" i="8"/>
  <c r="D549" i="8"/>
  <c r="AM548" i="8"/>
  <c r="AL548" i="8"/>
  <c r="AK548" i="8"/>
  <c r="AJ548" i="8"/>
  <c r="AI548" i="8"/>
  <c r="AH548" i="8"/>
  <c r="AG548" i="8"/>
  <c r="AF548" i="8"/>
  <c r="AE548" i="8"/>
  <c r="AD548" i="8"/>
  <c r="AC548" i="8"/>
  <c r="AB548" i="8"/>
  <c r="AA548" i="8"/>
  <c r="Z548" i="8"/>
  <c r="Y548" i="8"/>
  <c r="X548" i="8"/>
  <c r="W548" i="8"/>
  <c r="V548" i="8"/>
  <c r="U548" i="8"/>
  <c r="T548" i="8"/>
  <c r="S548" i="8"/>
  <c r="R548" i="8"/>
  <c r="Q548" i="8"/>
  <c r="P548" i="8"/>
  <c r="O548" i="8"/>
  <c r="N548" i="8"/>
  <c r="E548" i="8"/>
  <c r="D548" i="8"/>
  <c r="L547" i="8"/>
  <c r="K547" i="8"/>
  <c r="E547" i="8"/>
  <c r="D547" i="8"/>
  <c r="M543" i="8"/>
  <c r="N538" i="8" s="1"/>
  <c r="O542" i="8" s="1"/>
  <c r="L543" i="8"/>
  <c r="K543" i="8"/>
  <c r="K538" i="8" s="1"/>
  <c r="E543" i="8"/>
  <c r="D543" i="8"/>
  <c r="N542" i="8"/>
  <c r="E542" i="8"/>
  <c r="D542" i="8"/>
  <c r="E541" i="8"/>
  <c r="D541" i="8"/>
  <c r="N540" i="8"/>
  <c r="E540" i="8"/>
  <c r="D540" i="8"/>
  <c r="AM539" i="8"/>
  <c r="AL539" i="8"/>
  <c r="AK539" i="8"/>
  <c r="AJ539" i="8"/>
  <c r="AI539" i="8"/>
  <c r="AH539" i="8"/>
  <c r="AG539" i="8"/>
  <c r="AF539" i="8"/>
  <c r="AE539" i="8"/>
  <c r="AD539" i="8"/>
  <c r="AC539" i="8"/>
  <c r="AB539" i="8"/>
  <c r="AA539" i="8"/>
  <c r="Z539" i="8"/>
  <c r="Y539" i="8"/>
  <c r="X539" i="8"/>
  <c r="W539" i="8"/>
  <c r="V539" i="8"/>
  <c r="U539" i="8"/>
  <c r="T539" i="8"/>
  <c r="S539" i="8"/>
  <c r="R539" i="8"/>
  <c r="Q539" i="8"/>
  <c r="P539" i="8"/>
  <c r="O539" i="8"/>
  <c r="N539" i="8"/>
  <c r="E539" i="8"/>
  <c r="D539" i="8"/>
  <c r="L538" i="8"/>
  <c r="E538" i="8"/>
  <c r="D538" i="8"/>
  <c r="L534" i="8"/>
  <c r="K534" i="8"/>
  <c r="E534" i="8"/>
  <c r="D534" i="8"/>
  <c r="N533" i="8"/>
  <c r="E533" i="8"/>
  <c r="D533" i="8"/>
  <c r="E532" i="8"/>
  <c r="D532" i="8"/>
  <c r="N531" i="8"/>
  <c r="E531" i="8"/>
  <c r="D531" i="8"/>
  <c r="AM530" i="8"/>
  <c r="AL530" i="8"/>
  <c r="AK530" i="8"/>
  <c r="AJ530" i="8"/>
  <c r="AI530" i="8"/>
  <c r="AH530" i="8"/>
  <c r="AG530" i="8"/>
  <c r="AF530" i="8"/>
  <c r="AE530" i="8"/>
  <c r="AD530" i="8"/>
  <c r="AC530" i="8"/>
  <c r="AB530" i="8"/>
  <c r="AA530" i="8"/>
  <c r="Z530" i="8"/>
  <c r="Y530" i="8"/>
  <c r="X530" i="8"/>
  <c r="W530" i="8"/>
  <c r="V530" i="8"/>
  <c r="U530" i="8"/>
  <c r="T530" i="8"/>
  <c r="S530" i="8"/>
  <c r="R530" i="8"/>
  <c r="Q530" i="8"/>
  <c r="P530" i="8"/>
  <c r="O530" i="8"/>
  <c r="N530" i="8"/>
  <c r="E530" i="8"/>
  <c r="D530" i="8"/>
  <c r="L529" i="8"/>
  <c r="E529" i="8"/>
  <c r="D529" i="8"/>
  <c r="L525" i="8"/>
  <c r="N524" i="8" s="1"/>
  <c r="K525" i="8"/>
  <c r="E525" i="8"/>
  <c r="D525" i="8"/>
  <c r="K35" i="11"/>
  <c r="E524" i="8"/>
  <c r="D524" i="8"/>
  <c r="M30" i="11"/>
  <c r="E523" i="8"/>
  <c r="D523" i="8"/>
  <c r="N522" i="8"/>
  <c r="E522" i="8"/>
  <c r="D522" i="8"/>
  <c r="AM521" i="8"/>
  <c r="AL521" i="8"/>
  <c r="AK521" i="8"/>
  <c r="AJ521" i="8"/>
  <c r="AI521" i="8"/>
  <c r="AH521" i="8"/>
  <c r="AG521" i="8"/>
  <c r="AF521" i="8"/>
  <c r="AE521" i="8"/>
  <c r="AD521" i="8"/>
  <c r="AC521" i="8"/>
  <c r="AB521" i="8"/>
  <c r="AA521" i="8"/>
  <c r="Z521" i="8"/>
  <c r="Y521" i="8"/>
  <c r="X521" i="8"/>
  <c r="W521" i="8"/>
  <c r="V521" i="8"/>
  <c r="U521" i="8"/>
  <c r="T521" i="8"/>
  <c r="S521" i="8"/>
  <c r="R521" i="8"/>
  <c r="Q521" i="8"/>
  <c r="P521" i="8"/>
  <c r="O521" i="8"/>
  <c r="N521" i="8"/>
  <c r="E521" i="8"/>
  <c r="D521" i="8"/>
  <c r="E520" i="8"/>
  <c r="D520" i="8"/>
  <c r="L516" i="8"/>
  <c r="M511" i="8" s="1"/>
  <c r="N515" i="8" s="1"/>
  <c r="K516" i="8"/>
  <c r="E516" i="8"/>
  <c r="D516" i="8"/>
  <c r="M34" i="11"/>
  <c r="L515" i="8"/>
  <c r="L34" i="11" s="1"/>
  <c r="E515" i="8"/>
  <c r="D515" i="8"/>
  <c r="E514" i="8"/>
  <c r="D514" i="8"/>
  <c r="N513" i="8"/>
  <c r="E513" i="8"/>
  <c r="D513" i="8"/>
  <c r="AM512" i="8"/>
  <c r="AL512" i="8"/>
  <c r="AK512" i="8"/>
  <c r="AJ512" i="8"/>
  <c r="AI512" i="8"/>
  <c r="AH512" i="8"/>
  <c r="AG512" i="8"/>
  <c r="AF512" i="8"/>
  <c r="AE512" i="8"/>
  <c r="AD512" i="8"/>
  <c r="AC512" i="8"/>
  <c r="AB512" i="8"/>
  <c r="AA512" i="8"/>
  <c r="Z512" i="8"/>
  <c r="Y512" i="8"/>
  <c r="X512" i="8"/>
  <c r="W512" i="8"/>
  <c r="V512" i="8"/>
  <c r="U512" i="8"/>
  <c r="T512" i="8"/>
  <c r="S512" i="8"/>
  <c r="R512" i="8"/>
  <c r="Q512" i="8"/>
  <c r="P512" i="8"/>
  <c r="O512" i="8"/>
  <c r="N512" i="8"/>
  <c r="E512" i="8"/>
  <c r="D512" i="8"/>
  <c r="L511" i="8"/>
  <c r="E511" i="8"/>
  <c r="D511" i="8"/>
  <c r="M507" i="8"/>
  <c r="N502" i="8" s="1"/>
  <c r="O506" i="8" s="1"/>
  <c r="E507" i="8"/>
  <c r="D507" i="8"/>
  <c r="E506" i="8"/>
  <c r="D506" i="8"/>
  <c r="E505" i="8"/>
  <c r="D505" i="8"/>
  <c r="E504" i="8"/>
  <c r="D504" i="8"/>
  <c r="AM503" i="8"/>
  <c r="AL503" i="8"/>
  <c r="AK503" i="8"/>
  <c r="AJ503" i="8"/>
  <c r="AI503" i="8"/>
  <c r="AH503" i="8"/>
  <c r="AG503" i="8"/>
  <c r="AF503" i="8"/>
  <c r="AE503" i="8"/>
  <c r="AD503" i="8"/>
  <c r="AC503" i="8"/>
  <c r="AB503" i="8"/>
  <c r="AA503" i="8"/>
  <c r="Z503" i="8"/>
  <c r="Y503" i="8"/>
  <c r="X503" i="8"/>
  <c r="W503" i="8"/>
  <c r="V503" i="8"/>
  <c r="U503" i="8"/>
  <c r="T503" i="8"/>
  <c r="S503" i="8"/>
  <c r="R503" i="8"/>
  <c r="Q503" i="8"/>
  <c r="P503" i="8"/>
  <c r="O503" i="8"/>
  <c r="N503" i="8"/>
  <c r="E503" i="8"/>
  <c r="D503" i="8"/>
  <c r="E502" i="8"/>
  <c r="D502" i="8"/>
  <c r="AM495" i="8"/>
  <c r="AL495" i="8"/>
  <c r="AK495" i="8"/>
  <c r="AJ495" i="8"/>
  <c r="AI495" i="8"/>
  <c r="AH495" i="8"/>
  <c r="AG495" i="8"/>
  <c r="AF495" i="8"/>
  <c r="AE495" i="8"/>
  <c r="AD495" i="8"/>
  <c r="AC495" i="8"/>
  <c r="AB495" i="8"/>
  <c r="AA495" i="8"/>
  <c r="Z495" i="8"/>
  <c r="Y495" i="8"/>
  <c r="X495" i="8"/>
  <c r="W495" i="8"/>
  <c r="V495" i="8"/>
  <c r="U495" i="8"/>
  <c r="T495" i="8"/>
  <c r="S495" i="8"/>
  <c r="R495" i="8"/>
  <c r="Q495" i="8"/>
  <c r="P495" i="8"/>
  <c r="O495" i="8"/>
  <c r="N495" i="8"/>
  <c r="M495" i="8"/>
  <c r="L495" i="8"/>
  <c r="K495" i="8"/>
  <c r="AM494" i="8"/>
  <c r="AL494" i="8"/>
  <c r="AK494" i="8"/>
  <c r="AJ494" i="8"/>
  <c r="AI494" i="8"/>
  <c r="AH494" i="8"/>
  <c r="AG494" i="8"/>
  <c r="AF494" i="8"/>
  <c r="AE494" i="8"/>
  <c r="AD494" i="8"/>
  <c r="AC494" i="8"/>
  <c r="AB494" i="8"/>
  <c r="AA494" i="8"/>
  <c r="Z494" i="8"/>
  <c r="Y494" i="8"/>
  <c r="X494" i="8"/>
  <c r="W494" i="8"/>
  <c r="V494" i="8"/>
  <c r="U494" i="8"/>
  <c r="T494" i="8"/>
  <c r="S494" i="8"/>
  <c r="R494" i="8"/>
  <c r="Q494" i="8"/>
  <c r="P494" i="8"/>
  <c r="O494" i="8"/>
  <c r="N494" i="8"/>
  <c r="M494" i="8"/>
  <c r="L494" i="8"/>
  <c r="K494" i="8"/>
  <c r="N487" i="8"/>
  <c r="N869" i="8" s="1"/>
  <c r="L487" i="8"/>
  <c r="L869" i="8" s="1"/>
  <c r="L864" i="8" s="1"/>
  <c r="K487" i="8"/>
  <c r="K869" i="8" s="1"/>
  <c r="K864" i="8" s="1"/>
  <c r="E487" i="8"/>
  <c r="D487" i="8"/>
  <c r="N486" i="8"/>
  <c r="O484" i="8" s="1"/>
  <c r="E486" i="8"/>
  <c r="D486" i="8"/>
  <c r="N485" i="8"/>
  <c r="E485" i="8"/>
  <c r="D485" i="8"/>
  <c r="N484" i="8"/>
  <c r="E484" i="8"/>
  <c r="D484" i="8"/>
  <c r="N483" i="8"/>
  <c r="E483" i="8"/>
  <c r="D483" i="8"/>
  <c r="N482" i="8"/>
  <c r="M487" i="8" s="1"/>
  <c r="M869" i="8" s="1"/>
  <c r="E482" i="8"/>
  <c r="D482" i="8"/>
  <c r="G480" i="8"/>
  <c r="L478" i="8"/>
  <c r="L860" i="8" s="1"/>
  <c r="L855" i="8" s="1"/>
  <c r="K478" i="8"/>
  <c r="K860" i="8" s="1"/>
  <c r="K855" i="8" s="1"/>
  <c r="E478" i="8"/>
  <c r="D478" i="8"/>
  <c r="N477" i="8"/>
  <c r="O475" i="8" s="1"/>
  <c r="E477" i="8"/>
  <c r="D477" i="8"/>
  <c r="N476" i="8"/>
  <c r="E476" i="8"/>
  <c r="D476" i="8"/>
  <c r="N475" i="8"/>
  <c r="E475" i="8"/>
  <c r="D475" i="8"/>
  <c r="N474" i="8"/>
  <c r="E474" i="8"/>
  <c r="D474" i="8"/>
  <c r="N473" i="8"/>
  <c r="M478" i="8" s="1"/>
  <c r="M860" i="8" s="1"/>
  <c r="E473" i="8"/>
  <c r="D473" i="8"/>
  <c r="G471" i="8"/>
  <c r="N851" i="8"/>
  <c r="M469" i="8"/>
  <c r="M851" i="8" s="1"/>
  <c r="L469" i="8"/>
  <c r="L851" i="8" s="1"/>
  <c r="L846" i="8" s="1"/>
  <c r="K469" i="8"/>
  <c r="K851" i="8" s="1"/>
  <c r="K846" i="8" s="1"/>
  <c r="E469" i="8"/>
  <c r="D469" i="8"/>
  <c r="O466" i="8"/>
  <c r="E468" i="8"/>
  <c r="D468" i="8"/>
  <c r="E467" i="8"/>
  <c r="D467" i="8"/>
  <c r="E466" i="8"/>
  <c r="D466" i="8"/>
  <c r="E465" i="8"/>
  <c r="D465" i="8"/>
  <c r="E464" i="8"/>
  <c r="D464" i="8"/>
  <c r="G462" i="8"/>
  <c r="N460" i="8"/>
  <c r="N842" i="8" s="1"/>
  <c r="L460" i="8"/>
  <c r="L842" i="8" s="1"/>
  <c r="L837" i="8" s="1"/>
  <c r="K460" i="8"/>
  <c r="K842" i="8" s="1"/>
  <c r="K837" i="8" s="1"/>
  <c r="E460" i="8"/>
  <c r="D460" i="8"/>
  <c r="N459" i="8"/>
  <c r="O457" i="8" s="1"/>
  <c r="E459" i="8"/>
  <c r="D459" i="8"/>
  <c r="N458" i="8"/>
  <c r="E458" i="8"/>
  <c r="D458" i="8"/>
  <c r="N457" i="8"/>
  <c r="E457" i="8"/>
  <c r="D457" i="8"/>
  <c r="N456" i="8"/>
  <c r="E456" i="8"/>
  <c r="D456" i="8"/>
  <c r="N455" i="8"/>
  <c r="M460" i="8" s="1"/>
  <c r="M842" i="8" s="1"/>
  <c r="E455" i="8"/>
  <c r="D455" i="8"/>
  <c r="G453" i="8"/>
  <c r="N451" i="8"/>
  <c r="N833" i="8" s="1"/>
  <c r="L451" i="8"/>
  <c r="L833" i="8" s="1"/>
  <c r="L828" i="8" s="1"/>
  <c r="K451" i="8"/>
  <c r="K833" i="8" s="1"/>
  <c r="K828" i="8" s="1"/>
  <c r="E451" i="8"/>
  <c r="D451" i="8"/>
  <c r="N450" i="8"/>
  <c r="O448" i="8" s="1"/>
  <c r="E450" i="8"/>
  <c r="D450" i="8"/>
  <c r="N449" i="8"/>
  <c r="E449" i="8"/>
  <c r="D449" i="8"/>
  <c r="N448" i="8"/>
  <c r="E448" i="8"/>
  <c r="D448" i="8"/>
  <c r="N447" i="8"/>
  <c r="E447" i="8"/>
  <c r="D447" i="8"/>
  <c r="N446" i="8"/>
  <c r="M451" i="8" s="1"/>
  <c r="M833" i="8" s="1"/>
  <c r="E446" i="8"/>
  <c r="D446" i="8"/>
  <c r="G444" i="8"/>
  <c r="N442" i="8"/>
  <c r="N824" i="8" s="1"/>
  <c r="L442" i="8"/>
  <c r="L824" i="8" s="1"/>
  <c r="L819" i="8" s="1"/>
  <c r="K442" i="8"/>
  <c r="K824" i="8" s="1"/>
  <c r="K819" i="8" s="1"/>
  <c r="E442" i="8"/>
  <c r="N441" i="8"/>
  <c r="E441" i="8"/>
  <c r="N440" i="8"/>
  <c r="E440" i="8"/>
  <c r="O439" i="8"/>
  <c r="N439" i="8"/>
  <c r="E439" i="8"/>
  <c r="N438" i="8"/>
  <c r="E438" i="8"/>
  <c r="N437" i="8"/>
  <c r="M442" i="8" s="1"/>
  <c r="M824" i="8" s="1"/>
  <c r="E437" i="8"/>
  <c r="G435" i="8"/>
  <c r="N433" i="8"/>
  <c r="N815" i="8" s="1"/>
  <c r="L433" i="8"/>
  <c r="L815" i="8" s="1"/>
  <c r="L810" i="8" s="1"/>
  <c r="K433" i="8"/>
  <c r="K815" i="8" s="1"/>
  <c r="K810" i="8" s="1"/>
  <c r="E433" i="8"/>
  <c r="D433" i="8"/>
  <c r="N432" i="8"/>
  <c r="O430" i="8" s="1"/>
  <c r="E432" i="8"/>
  <c r="D432" i="8"/>
  <c r="N431" i="8"/>
  <c r="E431" i="8"/>
  <c r="D431" i="8"/>
  <c r="N430" i="8"/>
  <c r="E430" i="8"/>
  <c r="D430" i="8"/>
  <c r="N429" i="8"/>
  <c r="E429" i="8"/>
  <c r="D429" i="8"/>
  <c r="N428" i="8"/>
  <c r="M433" i="8" s="1"/>
  <c r="M815" i="8" s="1"/>
  <c r="E428" i="8"/>
  <c r="D428" i="8"/>
  <c r="G426" i="8"/>
  <c r="N424" i="8"/>
  <c r="N806" i="8" s="1"/>
  <c r="M424" i="8"/>
  <c r="M806" i="8" s="1"/>
  <c r="L424" i="8"/>
  <c r="K424" i="8"/>
  <c r="E424" i="8"/>
  <c r="D424" i="8"/>
  <c r="E423" i="8"/>
  <c r="D423" i="8"/>
  <c r="E422" i="8"/>
  <c r="D422" i="8"/>
  <c r="O421" i="8"/>
  <c r="E421" i="8"/>
  <c r="D421" i="8"/>
  <c r="E420" i="8"/>
  <c r="D420" i="8"/>
  <c r="E419" i="8"/>
  <c r="D419" i="8"/>
  <c r="G417" i="8"/>
  <c r="N415" i="8"/>
  <c r="N797" i="8" s="1"/>
  <c r="L415" i="8"/>
  <c r="L797" i="8" s="1"/>
  <c r="L792" i="8" s="1"/>
  <c r="K415" i="8"/>
  <c r="K797" i="8" s="1"/>
  <c r="K792" i="8" s="1"/>
  <c r="E415" i="8"/>
  <c r="D415" i="8"/>
  <c r="N414" i="8"/>
  <c r="O412" i="8" s="1"/>
  <c r="E414" i="8"/>
  <c r="D414" i="8"/>
  <c r="N413" i="8"/>
  <c r="E413" i="8"/>
  <c r="D413" i="8"/>
  <c r="N412" i="8"/>
  <c r="E412" i="8"/>
  <c r="D412" i="8"/>
  <c r="N411" i="8"/>
  <c r="E411" i="8"/>
  <c r="D411" i="8"/>
  <c r="N410" i="8"/>
  <c r="M415" i="8" s="1"/>
  <c r="M797" i="8" s="1"/>
  <c r="E410" i="8"/>
  <c r="D410" i="8"/>
  <c r="G408" i="8"/>
  <c r="N406" i="8"/>
  <c r="N788" i="8" s="1"/>
  <c r="M406" i="8"/>
  <c r="L406" i="8"/>
  <c r="K406" i="8"/>
  <c r="E406" i="8"/>
  <c r="D406" i="8"/>
  <c r="E405" i="8"/>
  <c r="D405" i="8"/>
  <c r="E404" i="8"/>
  <c r="D404" i="8"/>
  <c r="O403" i="8"/>
  <c r="E403" i="8"/>
  <c r="D403" i="8"/>
  <c r="E402" i="8"/>
  <c r="D402" i="8"/>
  <c r="E401" i="8"/>
  <c r="D401" i="8"/>
  <c r="G399" i="8"/>
  <c r="H397" i="8"/>
  <c r="N392" i="8"/>
  <c r="N776" i="8" s="1"/>
  <c r="M392" i="8"/>
  <c r="M776" i="8" s="1"/>
  <c r="L392" i="8"/>
  <c r="K392" i="8"/>
  <c r="E392" i="8"/>
  <c r="D392" i="8"/>
  <c r="E391" i="8"/>
  <c r="D391" i="8"/>
  <c r="E390" i="8"/>
  <c r="D390" i="8"/>
  <c r="O389" i="8"/>
  <c r="E389" i="8"/>
  <c r="D389" i="8"/>
  <c r="E388" i="8"/>
  <c r="D388" i="8"/>
  <c r="E387" i="8"/>
  <c r="D387" i="8"/>
  <c r="G385" i="8"/>
  <c r="L383" i="8"/>
  <c r="L767" i="8" s="1"/>
  <c r="L762" i="8" s="1"/>
  <c r="K383" i="8"/>
  <c r="K767" i="8" s="1"/>
  <c r="K762" i="8" s="1"/>
  <c r="E383" i="8"/>
  <c r="D383" i="8"/>
  <c r="N382" i="8"/>
  <c r="O380" i="8" s="1"/>
  <c r="E382" i="8"/>
  <c r="D382" i="8"/>
  <c r="N381" i="8"/>
  <c r="E381" i="8"/>
  <c r="D381" i="8"/>
  <c r="N380" i="8"/>
  <c r="E380" i="8"/>
  <c r="D380" i="8"/>
  <c r="N379" i="8"/>
  <c r="O379" i="8" s="1"/>
  <c r="E379" i="8"/>
  <c r="D379" i="8"/>
  <c r="N378" i="8"/>
  <c r="M383" i="8" s="1"/>
  <c r="M767" i="8" s="1"/>
  <c r="E378" i="8"/>
  <c r="D378" i="8"/>
  <c r="G376" i="8"/>
  <c r="N758" i="8"/>
  <c r="M374" i="8"/>
  <c r="M758" i="8" s="1"/>
  <c r="L374" i="8"/>
  <c r="K374" i="8"/>
  <c r="E374" i="8"/>
  <c r="D374" i="8"/>
  <c r="E373" i="8"/>
  <c r="D373" i="8"/>
  <c r="E372" i="8"/>
  <c r="D372" i="8"/>
  <c r="O371" i="8"/>
  <c r="E371" i="8"/>
  <c r="D371" i="8"/>
  <c r="E370" i="8"/>
  <c r="D370" i="8"/>
  <c r="E369" i="8"/>
  <c r="D369" i="8"/>
  <c r="G367" i="8"/>
  <c r="N365" i="8"/>
  <c r="N749" i="8" s="1"/>
  <c r="M365" i="8"/>
  <c r="L365" i="8"/>
  <c r="K365" i="8"/>
  <c r="E365" i="8"/>
  <c r="D365" i="8"/>
  <c r="E364" i="8"/>
  <c r="D364" i="8"/>
  <c r="E363" i="8"/>
  <c r="D363" i="8"/>
  <c r="O362" i="8"/>
  <c r="E362" i="8"/>
  <c r="D362" i="8"/>
  <c r="E361" i="8"/>
  <c r="D361" i="8"/>
  <c r="E360" i="8"/>
  <c r="D360" i="8"/>
  <c r="G358" i="8"/>
  <c r="N356" i="8"/>
  <c r="N740" i="8" s="1"/>
  <c r="L356" i="8"/>
  <c r="L740" i="8" s="1"/>
  <c r="L735" i="8" s="1"/>
  <c r="K356" i="8"/>
  <c r="K740" i="8" s="1"/>
  <c r="K735" i="8" s="1"/>
  <c r="E356" i="8"/>
  <c r="D356" i="8"/>
  <c r="N355" i="8"/>
  <c r="O353" i="8" s="1"/>
  <c r="E355" i="8"/>
  <c r="D355" i="8"/>
  <c r="N354" i="8"/>
  <c r="E354" i="8"/>
  <c r="D354" i="8"/>
  <c r="N353" i="8"/>
  <c r="E353" i="8"/>
  <c r="D353" i="8"/>
  <c r="N352" i="8"/>
  <c r="E352" i="8"/>
  <c r="D352" i="8"/>
  <c r="N351" i="8"/>
  <c r="M356" i="8" s="1"/>
  <c r="M740" i="8" s="1"/>
  <c r="E351" i="8"/>
  <c r="D351" i="8"/>
  <c r="G349" i="8"/>
  <c r="N347" i="8"/>
  <c r="N731" i="8" s="1"/>
  <c r="M347" i="8"/>
  <c r="M731" i="8" s="1"/>
  <c r="L347" i="8"/>
  <c r="K347" i="8"/>
  <c r="E347" i="8"/>
  <c r="E346" i="8"/>
  <c r="E345" i="8"/>
  <c r="O344" i="8"/>
  <c r="E344" i="8"/>
  <c r="E343" i="8"/>
  <c r="E342" i="8"/>
  <c r="G340" i="8"/>
  <c r="N338" i="8"/>
  <c r="N722" i="8" s="1"/>
  <c r="L338" i="8"/>
  <c r="L722" i="8" s="1"/>
  <c r="L717" i="8" s="1"/>
  <c r="K338" i="8"/>
  <c r="K722" i="8" s="1"/>
  <c r="K717" i="8" s="1"/>
  <c r="E338" i="8"/>
  <c r="D338" i="8"/>
  <c r="N337" i="8"/>
  <c r="O335" i="8" s="1"/>
  <c r="E337" i="8"/>
  <c r="D337" i="8"/>
  <c r="N336" i="8"/>
  <c r="E336" i="8"/>
  <c r="D336" i="8"/>
  <c r="N335" i="8"/>
  <c r="E335" i="8"/>
  <c r="D335" i="8"/>
  <c r="N334" i="8"/>
  <c r="E334" i="8"/>
  <c r="D334" i="8"/>
  <c r="N333" i="8"/>
  <c r="M338" i="8" s="1"/>
  <c r="M722" i="8" s="1"/>
  <c r="E333" i="8"/>
  <c r="D333" i="8"/>
  <c r="G331" i="8"/>
  <c r="N329" i="8"/>
  <c r="N713" i="8" s="1"/>
  <c r="M329" i="8"/>
  <c r="M713" i="8" s="1"/>
  <c r="L329" i="8"/>
  <c r="K329" i="8"/>
  <c r="E329" i="8"/>
  <c r="D329" i="8"/>
  <c r="E328" i="8"/>
  <c r="D328" i="8"/>
  <c r="E327" i="8"/>
  <c r="D327" i="8"/>
  <c r="O326" i="8"/>
  <c r="E326" i="8"/>
  <c r="D326" i="8"/>
  <c r="E325" i="8"/>
  <c r="D325" i="8"/>
  <c r="E324" i="8"/>
  <c r="D324" i="8"/>
  <c r="G322" i="8"/>
  <c r="N320" i="8"/>
  <c r="N704" i="8" s="1"/>
  <c r="L320" i="8"/>
  <c r="L704" i="8" s="1"/>
  <c r="L699" i="8" s="1"/>
  <c r="K320" i="8"/>
  <c r="K704" i="8" s="1"/>
  <c r="K699" i="8" s="1"/>
  <c r="E320" i="8"/>
  <c r="D320" i="8"/>
  <c r="N319" i="8"/>
  <c r="O317" i="8" s="1"/>
  <c r="E319" i="8"/>
  <c r="D319" i="8"/>
  <c r="N318" i="8"/>
  <c r="E318" i="8"/>
  <c r="D318" i="8"/>
  <c r="N317" i="8"/>
  <c r="E317" i="8"/>
  <c r="D317" i="8"/>
  <c r="N316" i="8"/>
  <c r="O316" i="8" s="1"/>
  <c r="P316" i="8" s="1"/>
  <c r="Q316" i="8" s="1"/>
  <c r="R316" i="8" s="1"/>
  <c r="S316" i="8" s="1"/>
  <c r="T316" i="8" s="1"/>
  <c r="U316" i="8" s="1"/>
  <c r="V316" i="8" s="1"/>
  <c r="W316" i="8" s="1"/>
  <c r="E316" i="8"/>
  <c r="D316" i="8"/>
  <c r="N315" i="8"/>
  <c r="M320" i="8" s="1"/>
  <c r="M704" i="8" s="1"/>
  <c r="E315" i="8"/>
  <c r="D315" i="8"/>
  <c r="G313" i="8"/>
  <c r="N311" i="8"/>
  <c r="N695" i="8" s="1"/>
  <c r="M311" i="8"/>
  <c r="L311" i="8"/>
  <c r="K311" i="8"/>
  <c r="E311" i="8"/>
  <c r="D311" i="8"/>
  <c r="E310" i="8"/>
  <c r="D310" i="8"/>
  <c r="E309" i="8"/>
  <c r="D309" i="8"/>
  <c r="O308" i="8"/>
  <c r="E308" i="8"/>
  <c r="D308" i="8"/>
  <c r="E307" i="8"/>
  <c r="D307" i="8"/>
  <c r="E306" i="8"/>
  <c r="D306" i="8"/>
  <c r="G304" i="8"/>
  <c r="H302" i="8"/>
  <c r="N297" i="8"/>
  <c r="N682" i="8" s="1"/>
  <c r="M297" i="8"/>
  <c r="M682" i="8" s="1"/>
  <c r="L297" i="8"/>
  <c r="K297" i="8"/>
  <c r="E297" i="8"/>
  <c r="D297" i="8"/>
  <c r="E296" i="8"/>
  <c r="D296" i="8"/>
  <c r="E295" i="8"/>
  <c r="D295" i="8"/>
  <c r="O294" i="8"/>
  <c r="E294" i="8"/>
  <c r="D294" i="8"/>
  <c r="E293" i="8"/>
  <c r="D293" i="8"/>
  <c r="E292" i="8"/>
  <c r="D292" i="8"/>
  <c r="G290" i="8"/>
  <c r="L288" i="8"/>
  <c r="L673" i="8" s="1"/>
  <c r="L668" i="8" s="1"/>
  <c r="K288" i="8"/>
  <c r="K673" i="8" s="1"/>
  <c r="K668" i="8" s="1"/>
  <c r="E288" i="8"/>
  <c r="D288" i="8"/>
  <c r="N287" i="8"/>
  <c r="O285" i="8" s="1"/>
  <c r="E287" i="8"/>
  <c r="D287" i="8"/>
  <c r="N286" i="8"/>
  <c r="E286" i="8"/>
  <c r="D286" i="8"/>
  <c r="N285" i="8"/>
  <c r="E285" i="8"/>
  <c r="D285" i="8"/>
  <c r="N284" i="8"/>
  <c r="O284" i="8" s="1"/>
  <c r="E284" i="8"/>
  <c r="D284" i="8"/>
  <c r="N283" i="8"/>
  <c r="M288" i="8" s="1"/>
  <c r="M673" i="8" s="1"/>
  <c r="E283" i="8"/>
  <c r="D283" i="8"/>
  <c r="G281" i="8"/>
  <c r="N664" i="8"/>
  <c r="M279" i="8"/>
  <c r="M664" i="8" s="1"/>
  <c r="L279" i="8"/>
  <c r="K279" i="8"/>
  <c r="E279" i="8"/>
  <c r="D279" i="8"/>
  <c r="E278" i="8"/>
  <c r="D278" i="8"/>
  <c r="E277" i="8"/>
  <c r="D277" i="8"/>
  <c r="O276" i="8"/>
  <c r="E276" i="8"/>
  <c r="D276" i="8"/>
  <c r="E275" i="8"/>
  <c r="D275" i="8"/>
  <c r="O274" i="8"/>
  <c r="E274" i="8"/>
  <c r="D274" i="8"/>
  <c r="G272" i="8"/>
  <c r="N270" i="8"/>
  <c r="N655" i="8" s="1"/>
  <c r="M270" i="8"/>
  <c r="M655" i="8" s="1"/>
  <c r="L270" i="8"/>
  <c r="K270" i="8"/>
  <c r="E270" i="8"/>
  <c r="D270" i="8"/>
  <c r="E269" i="8"/>
  <c r="D269" i="8"/>
  <c r="E268" i="8"/>
  <c r="D268" i="8"/>
  <c r="O267" i="8"/>
  <c r="E267" i="8"/>
  <c r="D267" i="8"/>
  <c r="E266" i="8"/>
  <c r="D266" i="8"/>
  <c r="E265" i="8"/>
  <c r="D265" i="8"/>
  <c r="G263" i="8"/>
  <c r="N261" i="8"/>
  <c r="N646" i="8" s="1"/>
  <c r="L261" i="8"/>
  <c r="L646" i="8" s="1"/>
  <c r="L641" i="8" s="1"/>
  <c r="K261" i="8"/>
  <c r="K646" i="8" s="1"/>
  <c r="K641" i="8" s="1"/>
  <c r="E261" i="8"/>
  <c r="D261" i="8"/>
  <c r="N260" i="8"/>
  <c r="O258" i="8" s="1"/>
  <c r="E260" i="8"/>
  <c r="D260" i="8"/>
  <c r="N259" i="8"/>
  <c r="E259" i="8"/>
  <c r="D259" i="8"/>
  <c r="N258" i="8"/>
  <c r="E258" i="8"/>
  <c r="D258" i="8"/>
  <c r="N257" i="8"/>
  <c r="E257" i="8"/>
  <c r="D257" i="8"/>
  <c r="N256" i="8"/>
  <c r="M261" i="8" s="1"/>
  <c r="M646" i="8" s="1"/>
  <c r="E256" i="8"/>
  <c r="D256" i="8"/>
  <c r="G254" i="8"/>
  <c r="N252" i="8"/>
  <c r="N637" i="8" s="1"/>
  <c r="M252" i="8"/>
  <c r="L252" i="8"/>
  <c r="K252" i="8"/>
  <c r="E252" i="8"/>
  <c r="E251" i="8"/>
  <c r="E250" i="8"/>
  <c r="O249" i="8"/>
  <c r="E249" i="8"/>
  <c r="E248" i="8"/>
  <c r="E247" i="8"/>
  <c r="G245" i="8"/>
  <c r="N243" i="8"/>
  <c r="N628" i="8" s="1"/>
  <c r="L243" i="8"/>
  <c r="L628" i="8" s="1"/>
  <c r="L623" i="8" s="1"/>
  <c r="K243" i="8"/>
  <c r="K628" i="8" s="1"/>
  <c r="K623" i="8" s="1"/>
  <c r="E243" i="8"/>
  <c r="D243" i="8"/>
  <c r="N242" i="8"/>
  <c r="E242" i="8"/>
  <c r="D242" i="8"/>
  <c r="N241" i="8"/>
  <c r="E241" i="8"/>
  <c r="D241" i="8"/>
  <c r="O240" i="8"/>
  <c r="N240" i="8"/>
  <c r="E240" i="8"/>
  <c r="D240" i="8"/>
  <c r="N239" i="8"/>
  <c r="E239" i="8"/>
  <c r="D239" i="8"/>
  <c r="N238" i="8"/>
  <c r="M243" i="8" s="1"/>
  <c r="M628" i="8" s="1"/>
  <c r="E238" i="8"/>
  <c r="D238" i="8"/>
  <c r="G236" i="8"/>
  <c r="N234" i="8"/>
  <c r="N619" i="8" s="1"/>
  <c r="M234" i="8"/>
  <c r="M619" i="8" s="1"/>
  <c r="L234" i="8"/>
  <c r="K234" i="8"/>
  <c r="E234" i="8"/>
  <c r="D234" i="8"/>
  <c r="E233" i="8"/>
  <c r="D233" i="8"/>
  <c r="E232" i="8"/>
  <c r="D232" i="8"/>
  <c r="O231" i="8"/>
  <c r="E231" i="8"/>
  <c r="D231" i="8"/>
  <c r="E230" i="8"/>
  <c r="D230" i="8"/>
  <c r="E229" i="8"/>
  <c r="D229" i="8"/>
  <c r="G227" i="8"/>
  <c r="N225" i="8"/>
  <c r="N610" i="8" s="1"/>
  <c r="L225" i="8"/>
  <c r="L610" i="8" s="1"/>
  <c r="L605" i="8" s="1"/>
  <c r="K225" i="8"/>
  <c r="K610" i="8" s="1"/>
  <c r="K605" i="8" s="1"/>
  <c r="E225" i="8"/>
  <c r="D225" i="8"/>
  <c r="N224" i="8"/>
  <c r="O222" i="8" s="1"/>
  <c r="E224" i="8"/>
  <c r="D224" i="8"/>
  <c r="N223" i="8"/>
  <c r="E223" i="8"/>
  <c r="D223" i="8"/>
  <c r="N222" i="8"/>
  <c r="E222" i="8"/>
  <c r="D222" i="8"/>
  <c r="N221" i="8"/>
  <c r="E221" i="8"/>
  <c r="D221" i="8"/>
  <c r="N220" i="8"/>
  <c r="M225" i="8" s="1"/>
  <c r="M610" i="8" s="1"/>
  <c r="E220" i="8"/>
  <c r="D220" i="8"/>
  <c r="G218" i="8"/>
  <c r="N216" i="8"/>
  <c r="N601" i="8" s="1"/>
  <c r="M216" i="8"/>
  <c r="L216" i="8"/>
  <c r="K216" i="8"/>
  <c r="E216" i="8"/>
  <c r="D216" i="8"/>
  <c r="E215" i="8"/>
  <c r="D215" i="8"/>
  <c r="E214" i="8"/>
  <c r="D214" i="8"/>
  <c r="O213" i="8"/>
  <c r="E213" i="8"/>
  <c r="D213" i="8"/>
  <c r="E212" i="8"/>
  <c r="D212" i="8"/>
  <c r="O211" i="8"/>
  <c r="E211" i="8"/>
  <c r="D211" i="8"/>
  <c r="G209" i="8"/>
  <c r="H207" i="8"/>
  <c r="N202" i="8"/>
  <c r="N588" i="8" s="1"/>
  <c r="M202" i="8"/>
  <c r="M588" i="8" s="1"/>
  <c r="N583" i="8" s="1"/>
  <c r="O587" i="8" s="1"/>
  <c r="L202" i="8"/>
  <c r="K202" i="8"/>
  <c r="E202" i="8"/>
  <c r="D202" i="8"/>
  <c r="E201" i="8"/>
  <c r="D201" i="8"/>
  <c r="E200" i="8"/>
  <c r="D200" i="8"/>
  <c r="O199" i="8"/>
  <c r="E199" i="8"/>
  <c r="D199" i="8"/>
  <c r="E198" i="8"/>
  <c r="D198" i="8"/>
  <c r="E197" i="8"/>
  <c r="D197" i="8"/>
  <c r="G195" i="8"/>
  <c r="L193" i="8"/>
  <c r="L579" i="8" s="1"/>
  <c r="L574" i="8" s="1"/>
  <c r="K193" i="8"/>
  <c r="K579" i="8" s="1"/>
  <c r="K574" i="8" s="1"/>
  <c r="E193" i="8"/>
  <c r="D193" i="8"/>
  <c r="N192" i="8"/>
  <c r="O190" i="8" s="1"/>
  <c r="E192" i="8"/>
  <c r="D192" i="8"/>
  <c r="N191" i="8"/>
  <c r="N576" i="8" s="1"/>
  <c r="E191" i="8"/>
  <c r="D191" i="8"/>
  <c r="N190" i="8"/>
  <c r="E190" i="8"/>
  <c r="D190" i="8"/>
  <c r="N189" i="8"/>
  <c r="E189" i="8"/>
  <c r="D189" i="8"/>
  <c r="N188" i="8"/>
  <c r="M193" i="8" s="1"/>
  <c r="M579" i="8" s="1"/>
  <c r="E188" i="8"/>
  <c r="D188" i="8"/>
  <c r="G186" i="8"/>
  <c r="N184" i="8"/>
  <c r="N570" i="8" s="1"/>
  <c r="L184" i="8"/>
  <c r="L570" i="8" s="1"/>
  <c r="L565" i="8" s="1"/>
  <c r="K184" i="8"/>
  <c r="K570" i="8" s="1"/>
  <c r="K565" i="8" s="1"/>
  <c r="E184" i="8"/>
  <c r="D184" i="8"/>
  <c r="E183" i="8"/>
  <c r="D183" i="8"/>
  <c r="N567" i="8"/>
  <c r="E182" i="8"/>
  <c r="D182" i="8"/>
  <c r="E181" i="8"/>
  <c r="D181" i="8"/>
  <c r="N180" i="8"/>
  <c r="E180" i="8"/>
  <c r="D180" i="8"/>
  <c r="N179" i="8"/>
  <c r="M184" i="8" s="1"/>
  <c r="M570" i="8" s="1"/>
  <c r="E179" i="8"/>
  <c r="D179" i="8"/>
  <c r="G177" i="8"/>
  <c r="N175" i="8"/>
  <c r="N561" i="8" s="1"/>
  <c r="M175" i="8"/>
  <c r="M561" i="8" s="1"/>
  <c r="N556" i="8" s="1"/>
  <c r="O560" i="8" s="1"/>
  <c r="L175" i="8"/>
  <c r="K175" i="8"/>
  <c r="E175" i="8"/>
  <c r="D175" i="8"/>
  <c r="E174" i="8"/>
  <c r="D174" i="8"/>
  <c r="E173" i="8"/>
  <c r="D173" i="8"/>
  <c r="O172" i="8"/>
  <c r="E172" i="8"/>
  <c r="D172" i="8"/>
  <c r="E171" i="8"/>
  <c r="D171" i="8"/>
  <c r="E170" i="8"/>
  <c r="D170" i="8"/>
  <c r="G168" i="8"/>
  <c r="N166" i="8"/>
  <c r="N552" i="8" s="1"/>
  <c r="M166" i="8"/>
  <c r="M552" i="8" s="1"/>
  <c r="N547" i="8" s="1"/>
  <c r="O551" i="8" s="1"/>
  <c r="L166" i="8"/>
  <c r="K166" i="8"/>
  <c r="E166" i="8"/>
  <c r="D166" i="8"/>
  <c r="E165" i="8"/>
  <c r="D165" i="8"/>
  <c r="E164" i="8"/>
  <c r="D164" i="8"/>
  <c r="O163" i="8"/>
  <c r="E163" i="8"/>
  <c r="D163" i="8"/>
  <c r="E162" i="8"/>
  <c r="D162" i="8"/>
  <c r="E161" i="8"/>
  <c r="D161" i="8"/>
  <c r="G159" i="8"/>
  <c r="N157" i="8"/>
  <c r="N543" i="8" s="1"/>
  <c r="M157" i="8"/>
  <c r="L157" i="8"/>
  <c r="K157" i="8"/>
  <c r="E157" i="8"/>
  <c r="E156" i="8"/>
  <c r="E155" i="8"/>
  <c r="O154" i="8"/>
  <c r="E154" i="8"/>
  <c r="E153" i="8"/>
  <c r="O152" i="8"/>
  <c r="E152" i="8"/>
  <c r="G150" i="8"/>
  <c r="N148" i="8"/>
  <c r="N534" i="8" s="1"/>
  <c r="M148" i="8"/>
  <c r="M534" i="8" s="1"/>
  <c r="N529" i="8" s="1"/>
  <c r="O533" i="8" s="1"/>
  <c r="L148" i="8"/>
  <c r="K148" i="8"/>
  <c r="E148" i="8"/>
  <c r="D148" i="8"/>
  <c r="E147" i="8"/>
  <c r="D147" i="8"/>
  <c r="E146" i="8"/>
  <c r="D146" i="8"/>
  <c r="O145" i="8"/>
  <c r="E145" i="8"/>
  <c r="D145" i="8"/>
  <c r="E144" i="8"/>
  <c r="D144" i="8"/>
  <c r="E143" i="8"/>
  <c r="D143" i="8"/>
  <c r="G141" i="8"/>
  <c r="N139" i="8"/>
  <c r="N525" i="8" s="1"/>
  <c r="M139" i="8"/>
  <c r="M525" i="8" s="1"/>
  <c r="N520" i="8" s="1"/>
  <c r="O524" i="8" s="1"/>
  <c r="L139" i="8"/>
  <c r="K139" i="8"/>
  <c r="E139" i="8"/>
  <c r="D139" i="8"/>
  <c r="E138" i="8"/>
  <c r="D138" i="8"/>
  <c r="E137" i="8"/>
  <c r="D137" i="8"/>
  <c r="O136" i="8"/>
  <c r="E136" i="8"/>
  <c r="D136" i="8"/>
  <c r="E135" i="8"/>
  <c r="D135" i="8"/>
  <c r="E134" i="8"/>
  <c r="D134" i="8"/>
  <c r="G132" i="8"/>
  <c r="N130" i="8"/>
  <c r="N516" i="8" s="1"/>
  <c r="M130" i="8"/>
  <c r="M516" i="8" s="1"/>
  <c r="N511" i="8" s="1"/>
  <c r="O515" i="8" s="1"/>
  <c r="E130" i="8"/>
  <c r="D130" i="8"/>
  <c r="E129" i="8"/>
  <c r="D129" i="8"/>
  <c r="E128" i="8"/>
  <c r="D128" i="8"/>
  <c r="O127" i="8"/>
  <c r="E127" i="8"/>
  <c r="D127" i="8"/>
  <c r="E126" i="8"/>
  <c r="D126" i="8"/>
  <c r="E125" i="8"/>
  <c r="D125" i="8"/>
  <c r="G123" i="8"/>
  <c r="N121" i="8"/>
  <c r="N507" i="8" s="1"/>
  <c r="L121" i="8"/>
  <c r="L507" i="8" s="1"/>
  <c r="M502" i="8" s="1"/>
  <c r="N506" i="8" s="1"/>
  <c r="K121" i="8"/>
  <c r="K507" i="8" s="1"/>
  <c r="L502" i="8" s="1"/>
  <c r="E121" i="8"/>
  <c r="D121" i="8"/>
  <c r="N120" i="8"/>
  <c r="O118" i="8" s="1"/>
  <c r="E120" i="8"/>
  <c r="D120" i="8"/>
  <c r="N119" i="8"/>
  <c r="N504" i="8" s="1"/>
  <c r="E119" i="8"/>
  <c r="D119" i="8"/>
  <c r="N118" i="8"/>
  <c r="E118" i="8"/>
  <c r="D118" i="8"/>
  <c r="N117" i="8"/>
  <c r="E117" i="8"/>
  <c r="D117" i="8"/>
  <c r="E116" i="8"/>
  <c r="D116" i="8"/>
  <c r="G114" i="8"/>
  <c r="H112" i="8"/>
  <c r="K106" i="8"/>
  <c r="K105" i="8"/>
  <c r="K104" i="8"/>
  <c r="K103" i="8"/>
  <c r="K102" i="8"/>
  <c r="K101" i="8"/>
  <c r="K100" i="8"/>
  <c r="K99" i="8"/>
  <c r="K98" i="8"/>
  <c r="K97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X93" i="8"/>
  <c r="W93" i="8"/>
  <c r="V93" i="8"/>
  <c r="U93" i="8"/>
  <c r="T93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J8" i="8"/>
  <c r="G2" i="8"/>
  <c r="M20" i="9"/>
  <c r="M19" i="9"/>
  <c r="M18" i="9"/>
  <c r="M17" i="9"/>
  <c r="X13" i="9"/>
  <c r="W13" i="9"/>
  <c r="V13" i="9"/>
  <c r="T13" i="9"/>
  <c r="S13" i="9"/>
  <c r="R13" i="9"/>
  <c r="P13" i="9"/>
  <c r="P20" i="9" s="1"/>
  <c r="P79" i="14" s="1"/>
  <c r="P88" i="14" s="1"/>
  <c r="D13" i="42" s="1"/>
  <c r="N13" i="9"/>
  <c r="Y11" i="9"/>
  <c r="X11" i="9"/>
  <c r="W11" i="9"/>
  <c r="V11" i="9"/>
  <c r="U11" i="9"/>
  <c r="T11" i="9"/>
  <c r="S11" i="9"/>
  <c r="R11" i="9"/>
  <c r="Q11" i="9"/>
  <c r="P11" i="9"/>
  <c r="O11" i="9"/>
  <c r="N11" i="9"/>
  <c r="Y10" i="9"/>
  <c r="X10" i="9"/>
  <c r="W10" i="9"/>
  <c r="V10" i="9"/>
  <c r="U10" i="9"/>
  <c r="T10" i="9"/>
  <c r="S10" i="9"/>
  <c r="R10" i="9"/>
  <c r="Q10" i="9"/>
  <c r="P10" i="9"/>
  <c r="O10" i="9"/>
  <c r="N10" i="9"/>
  <c r="G2" i="9"/>
  <c r="M150" i="6"/>
  <c r="L150" i="6"/>
  <c r="K150" i="6"/>
  <c r="M122" i="6"/>
  <c r="L122" i="6"/>
  <c r="K122" i="6"/>
  <c r="G122" i="6"/>
  <c r="G120" i="6"/>
  <c r="G119" i="6"/>
  <c r="G118" i="6"/>
  <c r="G117" i="6"/>
  <c r="G116" i="6"/>
  <c r="G115" i="6"/>
  <c r="G114" i="6"/>
  <c r="G113" i="6"/>
  <c r="G112" i="6"/>
  <c r="Y106" i="6"/>
  <c r="X106" i="6"/>
  <c r="W106" i="6"/>
  <c r="V106" i="6"/>
  <c r="U106" i="6"/>
  <c r="T106" i="6"/>
  <c r="S106" i="6"/>
  <c r="R106" i="6"/>
  <c r="Q106" i="6"/>
  <c r="Y105" i="6"/>
  <c r="X105" i="6"/>
  <c r="W105" i="6"/>
  <c r="V105" i="6"/>
  <c r="U105" i="6"/>
  <c r="T105" i="6"/>
  <c r="S105" i="6"/>
  <c r="R105" i="6"/>
  <c r="Q105" i="6"/>
  <c r="Y104" i="6"/>
  <c r="X104" i="6"/>
  <c r="W104" i="6"/>
  <c r="V104" i="6"/>
  <c r="U104" i="6"/>
  <c r="T104" i="6"/>
  <c r="S104" i="6"/>
  <c r="R104" i="6"/>
  <c r="Q104" i="6"/>
  <c r="Y103" i="6"/>
  <c r="X103" i="6"/>
  <c r="W103" i="6"/>
  <c r="V103" i="6"/>
  <c r="U103" i="6"/>
  <c r="T103" i="6"/>
  <c r="S103" i="6"/>
  <c r="R103" i="6"/>
  <c r="Q103" i="6"/>
  <c r="Y99" i="6"/>
  <c r="X99" i="6"/>
  <c r="W99" i="6"/>
  <c r="V99" i="6"/>
  <c r="U99" i="6"/>
  <c r="T99" i="6"/>
  <c r="S99" i="6"/>
  <c r="R99" i="6"/>
  <c r="Q99" i="6"/>
  <c r="P99" i="6"/>
  <c r="O99" i="6"/>
  <c r="N99" i="6"/>
  <c r="Y98" i="6"/>
  <c r="X98" i="6"/>
  <c r="W98" i="6"/>
  <c r="V98" i="6"/>
  <c r="U98" i="6"/>
  <c r="T98" i="6"/>
  <c r="S98" i="6"/>
  <c r="R98" i="6"/>
  <c r="Q98" i="6"/>
  <c r="P98" i="6"/>
  <c r="O98" i="6"/>
  <c r="N98" i="6"/>
  <c r="Y97" i="6"/>
  <c r="X97" i="6"/>
  <c r="W97" i="6"/>
  <c r="V97" i="6"/>
  <c r="U97" i="6"/>
  <c r="T97" i="6"/>
  <c r="S97" i="6"/>
  <c r="R97" i="6"/>
  <c r="Q97" i="6"/>
  <c r="P97" i="6"/>
  <c r="O97" i="6"/>
  <c r="N97" i="6"/>
  <c r="Y96" i="6"/>
  <c r="X96" i="6"/>
  <c r="W96" i="6"/>
  <c r="V96" i="6"/>
  <c r="U96" i="6"/>
  <c r="T96" i="6"/>
  <c r="S96" i="6"/>
  <c r="R96" i="6"/>
  <c r="Q96" i="6"/>
  <c r="P96" i="6"/>
  <c r="O96" i="6"/>
  <c r="N96" i="6"/>
  <c r="Y92" i="6"/>
  <c r="X92" i="6"/>
  <c r="W92" i="6"/>
  <c r="V92" i="6"/>
  <c r="U92" i="6"/>
  <c r="T92" i="6"/>
  <c r="S92" i="6"/>
  <c r="R92" i="6"/>
  <c r="Q92" i="6"/>
  <c r="P92" i="6"/>
  <c r="O92" i="6"/>
  <c r="N92" i="6"/>
  <c r="Y91" i="6"/>
  <c r="X91" i="6"/>
  <c r="W91" i="6"/>
  <c r="V91" i="6"/>
  <c r="U91" i="6"/>
  <c r="T91" i="6"/>
  <c r="S91" i="6"/>
  <c r="R91" i="6"/>
  <c r="Q91" i="6"/>
  <c r="P91" i="6"/>
  <c r="O91" i="6"/>
  <c r="N91" i="6"/>
  <c r="Y90" i="6"/>
  <c r="X90" i="6"/>
  <c r="W90" i="6"/>
  <c r="V90" i="6"/>
  <c r="U90" i="6"/>
  <c r="T90" i="6"/>
  <c r="S90" i="6"/>
  <c r="R90" i="6"/>
  <c r="Q90" i="6"/>
  <c r="P90" i="6"/>
  <c r="O90" i="6"/>
  <c r="N90" i="6"/>
  <c r="Y89" i="6"/>
  <c r="X89" i="6"/>
  <c r="W89" i="6"/>
  <c r="V89" i="6"/>
  <c r="U89" i="6"/>
  <c r="T89" i="6"/>
  <c r="S89" i="6"/>
  <c r="R89" i="6"/>
  <c r="Q89" i="6"/>
  <c r="P89" i="6"/>
  <c r="O89" i="6"/>
  <c r="N89" i="6"/>
  <c r="Y85" i="6"/>
  <c r="X85" i="6"/>
  <c r="W85" i="6"/>
  <c r="V85" i="6"/>
  <c r="U85" i="6"/>
  <c r="T85" i="6"/>
  <c r="S85" i="6"/>
  <c r="R85" i="6"/>
  <c r="Q85" i="6"/>
  <c r="P85" i="6"/>
  <c r="O85" i="6"/>
  <c r="N85" i="6"/>
  <c r="Y84" i="6"/>
  <c r="X84" i="6"/>
  <c r="W84" i="6"/>
  <c r="V84" i="6"/>
  <c r="U84" i="6"/>
  <c r="T84" i="6"/>
  <c r="S84" i="6"/>
  <c r="R84" i="6"/>
  <c r="Q84" i="6"/>
  <c r="P84" i="6"/>
  <c r="O84" i="6"/>
  <c r="N84" i="6"/>
  <c r="Y83" i="6"/>
  <c r="X83" i="6"/>
  <c r="W83" i="6"/>
  <c r="V83" i="6"/>
  <c r="U83" i="6"/>
  <c r="T83" i="6"/>
  <c r="S83" i="6"/>
  <c r="R83" i="6"/>
  <c r="Q83" i="6"/>
  <c r="P83" i="6"/>
  <c r="O83" i="6"/>
  <c r="N83" i="6"/>
  <c r="Y82" i="6"/>
  <c r="X82" i="6"/>
  <c r="W82" i="6"/>
  <c r="V82" i="6"/>
  <c r="U82" i="6"/>
  <c r="T82" i="6"/>
  <c r="S82" i="6"/>
  <c r="R82" i="6"/>
  <c r="Q82" i="6"/>
  <c r="P82" i="6"/>
  <c r="O82" i="6"/>
  <c r="N82" i="6"/>
  <c r="Y78" i="6"/>
  <c r="X78" i="6"/>
  <c r="W78" i="6"/>
  <c r="V78" i="6"/>
  <c r="U78" i="6"/>
  <c r="T78" i="6"/>
  <c r="S78" i="6"/>
  <c r="R78" i="6"/>
  <c r="Q78" i="6"/>
  <c r="P78" i="6"/>
  <c r="O78" i="6"/>
  <c r="N78" i="6"/>
  <c r="Y77" i="6"/>
  <c r="X77" i="6"/>
  <c r="W77" i="6"/>
  <c r="V77" i="6"/>
  <c r="U77" i="6"/>
  <c r="T77" i="6"/>
  <c r="S77" i="6"/>
  <c r="R77" i="6"/>
  <c r="Q77" i="6"/>
  <c r="P77" i="6"/>
  <c r="O77" i="6"/>
  <c r="N77" i="6"/>
  <c r="Y76" i="6"/>
  <c r="X76" i="6"/>
  <c r="W76" i="6"/>
  <c r="V76" i="6"/>
  <c r="U76" i="6"/>
  <c r="T76" i="6"/>
  <c r="S76" i="6"/>
  <c r="R76" i="6"/>
  <c r="Q76" i="6"/>
  <c r="P76" i="6"/>
  <c r="O76" i="6"/>
  <c r="N76" i="6"/>
  <c r="Y75" i="6"/>
  <c r="X75" i="6"/>
  <c r="W75" i="6"/>
  <c r="V75" i="6"/>
  <c r="U75" i="6"/>
  <c r="T75" i="6"/>
  <c r="S75" i="6"/>
  <c r="R75" i="6"/>
  <c r="Q75" i="6"/>
  <c r="P75" i="6"/>
  <c r="O75" i="6"/>
  <c r="N75" i="6"/>
  <c r="Y71" i="6"/>
  <c r="X71" i="6"/>
  <c r="W71" i="6"/>
  <c r="V71" i="6"/>
  <c r="U71" i="6"/>
  <c r="T71" i="6"/>
  <c r="S71" i="6"/>
  <c r="R71" i="6"/>
  <c r="Q71" i="6"/>
  <c r="P71" i="6"/>
  <c r="O71" i="6"/>
  <c r="N71" i="6"/>
  <c r="Y70" i="6"/>
  <c r="X70" i="6"/>
  <c r="W70" i="6"/>
  <c r="V70" i="6"/>
  <c r="U70" i="6"/>
  <c r="T70" i="6"/>
  <c r="S70" i="6"/>
  <c r="R70" i="6"/>
  <c r="Q70" i="6"/>
  <c r="P70" i="6"/>
  <c r="O70" i="6"/>
  <c r="N70" i="6"/>
  <c r="Y69" i="6"/>
  <c r="X69" i="6"/>
  <c r="W69" i="6"/>
  <c r="V69" i="6"/>
  <c r="U69" i="6"/>
  <c r="T69" i="6"/>
  <c r="S69" i="6"/>
  <c r="R69" i="6"/>
  <c r="Q69" i="6"/>
  <c r="P69" i="6"/>
  <c r="O69" i="6"/>
  <c r="N69" i="6"/>
  <c r="Y68" i="6"/>
  <c r="X68" i="6"/>
  <c r="W68" i="6"/>
  <c r="V68" i="6"/>
  <c r="U68" i="6"/>
  <c r="T68" i="6"/>
  <c r="S68" i="6"/>
  <c r="R68" i="6"/>
  <c r="Q68" i="6"/>
  <c r="P68" i="6"/>
  <c r="O68" i="6"/>
  <c r="N68" i="6"/>
  <c r="Y64" i="6"/>
  <c r="X64" i="6"/>
  <c r="W64" i="6"/>
  <c r="V64" i="6"/>
  <c r="U64" i="6"/>
  <c r="T64" i="6"/>
  <c r="S64" i="6"/>
  <c r="R64" i="6"/>
  <c r="Q64" i="6"/>
  <c r="P64" i="6"/>
  <c r="O64" i="6"/>
  <c r="N64" i="6"/>
  <c r="Y63" i="6"/>
  <c r="X63" i="6"/>
  <c r="W63" i="6"/>
  <c r="V63" i="6"/>
  <c r="U63" i="6"/>
  <c r="T63" i="6"/>
  <c r="S63" i="6"/>
  <c r="R63" i="6"/>
  <c r="Q63" i="6"/>
  <c r="P63" i="6"/>
  <c r="O63" i="6"/>
  <c r="N63" i="6"/>
  <c r="Y62" i="6"/>
  <c r="X62" i="6"/>
  <c r="W62" i="6"/>
  <c r="V62" i="6"/>
  <c r="U62" i="6"/>
  <c r="T62" i="6"/>
  <c r="S62" i="6"/>
  <c r="R62" i="6"/>
  <c r="Q62" i="6"/>
  <c r="P62" i="6"/>
  <c r="O62" i="6"/>
  <c r="N62" i="6"/>
  <c r="Y61" i="6"/>
  <c r="X61" i="6"/>
  <c r="W61" i="6"/>
  <c r="V61" i="6"/>
  <c r="U61" i="6"/>
  <c r="T61" i="6"/>
  <c r="S61" i="6"/>
  <c r="R61" i="6"/>
  <c r="Q61" i="6"/>
  <c r="P61" i="6"/>
  <c r="O61" i="6"/>
  <c r="N61" i="6"/>
  <c r="Y57" i="6"/>
  <c r="X57" i="6"/>
  <c r="W57" i="6"/>
  <c r="V57" i="6"/>
  <c r="U57" i="6"/>
  <c r="T57" i="6"/>
  <c r="S57" i="6"/>
  <c r="R57" i="6"/>
  <c r="Q57" i="6"/>
  <c r="P57" i="6"/>
  <c r="O57" i="6"/>
  <c r="N57" i="6"/>
  <c r="G57" i="6"/>
  <c r="G64" i="6" s="1"/>
  <c r="G71" i="6" s="1"/>
  <c r="G78" i="6" s="1"/>
  <c r="G85" i="6" s="1"/>
  <c r="G92" i="6" s="1"/>
  <c r="G99" i="6" s="1"/>
  <c r="G106" i="6" s="1"/>
  <c r="Y56" i="6"/>
  <c r="X56" i="6"/>
  <c r="W56" i="6"/>
  <c r="V56" i="6"/>
  <c r="U56" i="6"/>
  <c r="T56" i="6"/>
  <c r="S56" i="6"/>
  <c r="R56" i="6"/>
  <c r="Q56" i="6"/>
  <c r="P56" i="6"/>
  <c r="O56" i="6"/>
  <c r="N56" i="6"/>
  <c r="G56" i="6"/>
  <c r="G63" i="6" s="1"/>
  <c r="G70" i="6" s="1"/>
  <c r="G77" i="6" s="1"/>
  <c r="G84" i="6" s="1"/>
  <c r="G91" i="6" s="1"/>
  <c r="G98" i="6" s="1"/>
  <c r="G105" i="6" s="1"/>
  <c r="Y55" i="6"/>
  <c r="X55" i="6"/>
  <c r="W55" i="6"/>
  <c r="V55" i="6"/>
  <c r="U55" i="6"/>
  <c r="T55" i="6"/>
  <c r="S55" i="6"/>
  <c r="R55" i="6"/>
  <c r="Q55" i="6"/>
  <c r="P55" i="6"/>
  <c r="O55" i="6"/>
  <c r="N55" i="6"/>
  <c r="G55" i="6"/>
  <c r="G62" i="6" s="1"/>
  <c r="G69" i="6" s="1"/>
  <c r="G76" i="6" s="1"/>
  <c r="G83" i="6" s="1"/>
  <c r="G90" i="6" s="1"/>
  <c r="G97" i="6" s="1"/>
  <c r="G104" i="6" s="1"/>
  <c r="Y54" i="6"/>
  <c r="X54" i="6"/>
  <c r="W54" i="6"/>
  <c r="V54" i="6"/>
  <c r="U54" i="6"/>
  <c r="T54" i="6"/>
  <c r="S54" i="6"/>
  <c r="R54" i="6"/>
  <c r="Q54" i="6"/>
  <c r="P54" i="6"/>
  <c r="O54" i="6"/>
  <c r="N54" i="6"/>
  <c r="G54" i="6"/>
  <c r="G61" i="6" s="1"/>
  <c r="G68" i="6" s="1"/>
  <c r="G75" i="6" s="1"/>
  <c r="G82" i="6" s="1"/>
  <c r="G89" i="6" s="1"/>
  <c r="G96" i="6" s="1"/>
  <c r="G103" i="6" s="1"/>
  <c r="Y49" i="6"/>
  <c r="X49" i="6"/>
  <c r="W49" i="6"/>
  <c r="V49" i="6"/>
  <c r="U49" i="6"/>
  <c r="T49" i="6"/>
  <c r="S49" i="6"/>
  <c r="R49" i="6"/>
  <c r="Q49" i="6"/>
  <c r="P49" i="6"/>
  <c r="O49" i="6"/>
  <c r="N49" i="6"/>
  <c r="Y48" i="6"/>
  <c r="X48" i="6"/>
  <c r="W48" i="6"/>
  <c r="V48" i="6"/>
  <c r="U48" i="6"/>
  <c r="T48" i="6"/>
  <c r="S48" i="6"/>
  <c r="R48" i="6"/>
  <c r="Q48" i="6"/>
  <c r="P48" i="6"/>
  <c r="O48" i="6"/>
  <c r="N48" i="6"/>
  <c r="Y47" i="6"/>
  <c r="X47" i="6"/>
  <c r="W47" i="6"/>
  <c r="V47" i="6"/>
  <c r="U47" i="6"/>
  <c r="T47" i="6"/>
  <c r="S47" i="6"/>
  <c r="R47" i="6"/>
  <c r="Q47" i="6"/>
  <c r="P47" i="6"/>
  <c r="O47" i="6"/>
  <c r="N47" i="6"/>
  <c r="Y46" i="6"/>
  <c r="X46" i="6"/>
  <c r="W46" i="6"/>
  <c r="V46" i="6"/>
  <c r="U46" i="6"/>
  <c r="T46" i="6"/>
  <c r="S46" i="6"/>
  <c r="R46" i="6"/>
  <c r="Q46" i="6"/>
  <c r="P46" i="6"/>
  <c r="O46" i="6"/>
  <c r="N46" i="6"/>
  <c r="Y37" i="6"/>
  <c r="X37" i="6"/>
  <c r="W37" i="6"/>
  <c r="V37" i="6"/>
  <c r="U37" i="6"/>
  <c r="T37" i="6"/>
  <c r="S37" i="6"/>
  <c r="R37" i="6"/>
  <c r="Q37" i="6"/>
  <c r="P37" i="6"/>
  <c r="O37" i="6"/>
  <c r="N37" i="6"/>
  <c r="Y36" i="6"/>
  <c r="X36" i="6"/>
  <c r="W36" i="6"/>
  <c r="V36" i="6"/>
  <c r="U36" i="6"/>
  <c r="T36" i="6"/>
  <c r="S36" i="6"/>
  <c r="R36" i="6"/>
  <c r="Q36" i="6"/>
  <c r="P36" i="6"/>
  <c r="O36" i="6"/>
  <c r="N36" i="6"/>
  <c r="N35" i="6"/>
  <c r="N34" i="6"/>
  <c r="Y33" i="6"/>
  <c r="X33" i="6"/>
  <c r="W33" i="6"/>
  <c r="V33" i="6"/>
  <c r="U33" i="6"/>
  <c r="T33" i="6"/>
  <c r="S33" i="6"/>
  <c r="R33" i="6"/>
  <c r="Q33" i="6"/>
  <c r="P33" i="6"/>
  <c r="O33" i="6"/>
  <c r="N33" i="6"/>
  <c r="Y32" i="6"/>
  <c r="X32" i="6"/>
  <c r="W32" i="6"/>
  <c r="V32" i="6"/>
  <c r="U32" i="6"/>
  <c r="T32" i="6"/>
  <c r="S32" i="6"/>
  <c r="R32" i="6"/>
  <c r="Q32" i="6"/>
  <c r="P32" i="6"/>
  <c r="O32" i="6"/>
  <c r="N32" i="6"/>
  <c r="Y31" i="6"/>
  <c r="X31" i="6"/>
  <c r="W31" i="6"/>
  <c r="V31" i="6"/>
  <c r="U31" i="6"/>
  <c r="T31" i="6"/>
  <c r="S31" i="6"/>
  <c r="R31" i="6"/>
  <c r="Q31" i="6"/>
  <c r="P31" i="6"/>
  <c r="O31" i="6"/>
  <c r="N31" i="6"/>
  <c r="Y30" i="6"/>
  <c r="X30" i="6"/>
  <c r="W30" i="6"/>
  <c r="V30" i="6"/>
  <c r="U30" i="6"/>
  <c r="T30" i="6"/>
  <c r="S30" i="6"/>
  <c r="R30" i="6"/>
  <c r="Q30" i="6"/>
  <c r="P30" i="6"/>
  <c r="O30" i="6"/>
  <c r="N30" i="6"/>
  <c r="Y29" i="6"/>
  <c r="X29" i="6"/>
  <c r="W29" i="6"/>
  <c r="V29" i="6"/>
  <c r="U29" i="6"/>
  <c r="T29" i="6"/>
  <c r="S29" i="6"/>
  <c r="R29" i="6"/>
  <c r="Q29" i="6"/>
  <c r="P29" i="6"/>
  <c r="O29" i="6"/>
  <c r="N29" i="6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28" i="6"/>
  <c r="N39" i="6" s="1"/>
  <c r="N40" i="6" s="1"/>
  <c r="M23" i="6"/>
  <c r="L23" i="6"/>
  <c r="K23" i="6"/>
  <c r="X22" i="6"/>
  <c r="X150" i="6" s="1"/>
  <c r="X26" i="12" s="1"/>
  <c r="W22" i="6"/>
  <c r="W150" i="6" s="1"/>
  <c r="W26" i="12" s="1"/>
  <c r="V22" i="6"/>
  <c r="V150" i="6" s="1"/>
  <c r="V26" i="12" s="1"/>
  <c r="U22" i="6"/>
  <c r="U150" i="6" s="1"/>
  <c r="U26" i="12" s="1"/>
  <c r="T22" i="6"/>
  <c r="T150" i="6" s="1"/>
  <c r="T26" i="12" s="1"/>
  <c r="S22" i="6"/>
  <c r="S150" i="6" s="1"/>
  <c r="S26" i="12" s="1"/>
  <c r="R22" i="6"/>
  <c r="R150" i="6" s="1"/>
  <c r="R26" i="12" s="1"/>
  <c r="Q22" i="6"/>
  <c r="Q150" i="6" s="1"/>
  <c r="Q26" i="12" s="1"/>
  <c r="P22" i="6"/>
  <c r="P150" i="6" s="1"/>
  <c r="P26" i="12" s="1"/>
  <c r="O22" i="6"/>
  <c r="O150" i="6" s="1"/>
  <c r="O26" i="12" s="1"/>
  <c r="N22" i="6"/>
  <c r="N150" i="6" s="1"/>
  <c r="N26" i="12" s="1"/>
  <c r="X21" i="6"/>
  <c r="W21" i="6"/>
  <c r="V21" i="6"/>
  <c r="U21" i="6"/>
  <c r="T21" i="6"/>
  <c r="S21" i="6"/>
  <c r="R21" i="6"/>
  <c r="Q21" i="6"/>
  <c r="P21" i="6"/>
  <c r="P164" i="6" s="1"/>
  <c r="P24" i="13" s="1"/>
  <c r="O21" i="6"/>
  <c r="O149" i="6" s="1"/>
  <c r="O25" i="12" s="1"/>
  <c r="N21" i="6"/>
  <c r="N164" i="6" s="1"/>
  <c r="N24" i="13" s="1"/>
  <c r="X20" i="6"/>
  <c r="W20" i="6"/>
  <c r="W119" i="6" s="1"/>
  <c r="W23" i="11" s="1"/>
  <c r="V20" i="6"/>
  <c r="U20" i="6"/>
  <c r="T20" i="6"/>
  <c r="S20" i="6"/>
  <c r="S119" i="6" s="1"/>
  <c r="S23" i="11" s="1"/>
  <c r="R20" i="6"/>
  <c r="Q20" i="6"/>
  <c r="P20" i="6"/>
  <c r="P178" i="6" s="1"/>
  <c r="P23" i="14" s="1"/>
  <c r="O20" i="6"/>
  <c r="O178" i="6" s="1"/>
  <c r="O23" i="14" s="1"/>
  <c r="N20" i="6"/>
  <c r="N178" i="6" s="1"/>
  <c r="N23" i="14" s="1"/>
  <c r="X19" i="6"/>
  <c r="W19" i="6"/>
  <c r="V19" i="6"/>
  <c r="U19" i="6"/>
  <c r="T19" i="6"/>
  <c r="S19" i="6"/>
  <c r="R19" i="6"/>
  <c r="Q19" i="6"/>
  <c r="P19" i="6"/>
  <c r="O19" i="6"/>
  <c r="N19" i="6"/>
  <c r="X18" i="6"/>
  <c r="W18" i="6"/>
  <c r="V18" i="6"/>
  <c r="U18" i="6"/>
  <c r="T18" i="6"/>
  <c r="S18" i="6"/>
  <c r="R18" i="6"/>
  <c r="Q18" i="6"/>
  <c r="P18" i="6"/>
  <c r="O18" i="6"/>
  <c r="N18" i="6"/>
  <c r="X17" i="6"/>
  <c r="W17" i="6"/>
  <c r="V17" i="6"/>
  <c r="U17" i="6"/>
  <c r="T17" i="6"/>
  <c r="S17" i="6"/>
  <c r="R17" i="6"/>
  <c r="Q17" i="6"/>
  <c r="P17" i="6"/>
  <c r="P160" i="6" s="1"/>
  <c r="P20" i="13" s="1"/>
  <c r="O17" i="6"/>
  <c r="N17" i="6"/>
  <c r="N160" i="6" s="1"/>
  <c r="N20" i="13" s="1"/>
  <c r="X16" i="6"/>
  <c r="W16" i="6"/>
  <c r="W115" i="6" s="1"/>
  <c r="W19" i="11" s="1"/>
  <c r="V16" i="6"/>
  <c r="U16" i="6"/>
  <c r="T16" i="6"/>
  <c r="S16" i="6"/>
  <c r="S115" i="6" s="1"/>
  <c r="S19" i="11" s="1"/>
  <c r="R16" i="6"/>
  <c r="Q16" i="6"/>
  <c r="P16" i="6"/>
  <c r="O16" i="6"/>
  <c r="O174" i="6" s="1"/>
  <c r="O19" i="14" s="1"/>
  <c r="N16" i="6"/>
  <c r="X15" i="6"/>
  <c r="W15" i="6"/>
  <c r="V15" i="6"/>
  <c r="U15" i="6"/>
  <c r="T15" i="6"/>
  <c r="S15" i="6"/>
  <c r="R15" i="6"/>
  <c r="Q15" i="6"/>
  <c r="P15" i="6"/>
  <c r="O15" i="6"/>
  <c r="N15" i="6"/>
  <c r="X14" i="6"/>
  <c r="W14" i="6"/>
  <c r="V14" i="6"/>
  <c r="U14" i="6"/>
  <c r="T14" i="6"/>
  <c r="S14" i="6"/>
  <c r="R14" i="6"/>
  <c r="Q14" i="6"/>
  <c r="P14" i="6"/>
  <c r="O14" i="6"/>
  <c r="N14" i="6"/>
  <c r="X13" i="6"/>
  <c r="W13" i="6"/>
  <c r="V13" i="6"/>
  <c r="U13" i="6"/>
  <c r="T13" i="6"/>
  <c r="S13" i="6"/>
  <c r="R13" i="6"/>
  <c r="Q13" i="6"/>
  <c r="P13" i="6"/>
  <c r="P156" i="6" s="1"/>
  <c r="P16" i="13" s="1"/>
  <c r="O13" i="6"/>
  <c r="N13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H5" i="6"/>
  <c r="I5" i="6" s="1"/>
  <c r="J5" i="6" s="1"/>
  <c r="K5" i="6" s="1"/>
  <c r="G2" i="6"/>
  <c r="X52" i="2"/>
  <c r="W52" i="2"/>
  <c r="V52" i="2"/>
  <c r="U52" i="2"/>
  <c r="T52" i="2"/>
  <c r="S52" i="2"/>
  <c r="R52" i="2"/>
  <c r="Q52" i="2"/>
  <c r="P52" i="2"/>
  <c r="O52" i="2"/>
  <c r="N52" i="2"/>
  <c r="X51" i="2"/>
  <c r="W51" i="2"/>
  <c r="V51" i="2"/>
  <c r="U51" i="2"/>
  <c r="T51" i="2"/>
  <c r="S51" i="2"/>
  <c r="R51" i="2"/>
  <c r="Q51" i="2"/>
  <c r="P51" i="2"/>
  <c r="O51" i="2"/>
  <c r="N51" i="2"/>
  <c r="X48" i="2"/>
  <c r="W48" i="2"/>
  <c r="V48" i="2"/>
  <c r="U48" i="2"/>
  <c r="T48" i="2"/>
  <c r="S48" i="2"/>
  <c r="R48" i="2"/>
  <c r="Q48" i="2"/>
  <c r="P48" i="2"/>
  <c r="O48" i="2"/>
  <c r="N48" i="2"/>
  <c r="X47" i="2"/>
  <c r="W47" i="2"/>
  <c r="V47" i="2"/>
  <c r="U47" i="2"/>
  <c r="T47" i="2"/>
  <c r="S47" i="2"/>
  <c r="R47" i="2"/>
  <c r="Q47" i="2"/>
  <c r="P47" i="2"/>
  <c r="O47" i="2"/>
  <c r="N47" i="2"/>
  <c r="X44" i="2"/>
  <c r="W44" i="2"/>
  <c r="V44" i="2"/>
  <c r="U44" i="2"/>
  <c r="T44" i="2"/>
  <c r="S44" i="2"/>
  <c r="R44" i="2"/>
  <c r="Q44" i="2"/>
  <c r="P44" i="2"/>
  <c r="O44" i="2"/>
  <c r="N44" i="2"/>
  <c r="X42" i="2"/>
  <c r="W42" i="2"/>
  <c r="V42" i="2"/>
  <c r="U42" i="2"/>
  <c r="T42" i="2"/>
  <c r="S42" i="2"/>
  <c r="R42" i="2"/>
  <c r="Q42" i="2"/>
  <c r="P42" i="2"/>
  <c r="O42" i="2"/>
  <c r="N42" i="2"/>
  <c r="X38" i="2"/>
  <c r="W38" i="2"/>
  <c r="V38" i="2"/>
  <c r="U38" i="2"/>
  <c r="T38" i="2"/>
  <c r="S38" i="2"/>
  <c r="R38" i="2"/>
  <c r="Q38" i="2"/>
  <c r="P38" i="2"/>
  <c r="O38" i="2"/>
  <c r="N38" i="2"/>
  <c r="X37" i="2"/>
  <c r="W37" i="2"/>
  <c r="V37" i="2"/>
  <c r="U37" i="2"/>
  <c r="T37" i="2"/>
  <c r="S37" i="2"/>
  <c r="R37" i="2"/>
  <c r="Q37" i="2"/>
  <c r="P37" i="2"/>
  <c r="O37" i="2"/>
  <c r="N37" i="2"/>
  <c r="X31" i="2"/>
  <c r="W31" i="2"/>
  <c r="V31" i="2"/>
  <c r="U31" i="2"/>
  <c r="T31" i="2"/>
  <c r="S31" i="2"/>
  <c r="R31" i="2"/>
  <c r="Q31" i="2"/>
  <c r="P31" i="2"/>
  <c r="O31" i="2"/>
  <c r="N31" i="2"/>
  <c r="M30" i="2"/>
  <c r="L30" i="2"/>
  <c r="K30" i="2"/>
  <c r="X26" i="2"/>
  <c r="W26" i="2"/>
  <c r="V26" i="2"/>
  <c r="U26" i="2"/>
  <c r="T26" i="2"/>
  <c r="S26" i="2"/>
  <c r="R26" i="2"/>
  <c r="Q26" i="2"/>
  <c r="P26" i="2"/>
  <c r="O26" i="2"/>
  <c r="N26" i="2"/>
  <c r="X23" i="2"/>
  <c r="W23" i="2"/>
  <c r="V23" i="2"/>
  <c r="U23" i="2"/>
  <c r="T23" i="2"/>
  <c r="S23" i="2"/>
  <c r="R23" i="2"/>
  <c r="Q23" i="2"/>
  <c r="P23" i="2"/>
  <c r="O23" i="2"/>
  <c r="N23" i="2"/>
  <c r="X20" i="2"/>
  <c r="W20" i="2"/>
  <c r="V20" i="2"/>
  <c r="U20" i="2"/>
  <c r="T20" i="2"/>
  <c r="S20" i="2"/>
  <c r="R20" i="2"/>
  <c r="Q20" i="2"/>
  <c r="P20" i="2"/>
  <c r="O20" i="2"/>
  <c r="N20" i="2"/>
  <c r="M14" i="2"/>
  <c r="AJ13" i="2"/>
  <c r="X12" i="2"/>
  <c r="W12" i="2"/>
  <c r="V12" i="2"/>
  <c r="U12" i="2"/>
  <c r="T12" i="2"/>
  <c r="S12" i="2"/>
  <c r="R12" i="2"/>
  <c r="Q12" i="2"/>
  <c r="P12" i="2"/>
  <c r="O12" i="2"/>
  <c r="N12" i="2"/>
  <c r="M12" i="2"/>
  <c r="F11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D48" i="42" l="1"/>
  <c r="D31" i="42"/>
  <c r="AM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AB97" i="8"/>
  <c r="AC97" i="8"/>
  <c r="AD97" i="8"/>
  <c r="AE97" i="8"/>
  <c r="AF97" i="8"/>
  <c r="AG97" i="8"/>
  <c r="AH97" i="8"/>
  <c r="N97" i="8"/>
  <c r="AM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N98" i="8"/>
  <c r="AM99" i="8"/>
  <c r="O99" i="8"/>
  <c r="P99" i="8"/>
  <c r="Q99" i="8"/>
  <c r="R99" i="8"/>
  <c r="S99" i="8"/>
  <c r="T99" i="8"/>
  <c r="U99" i="8"/>
  <c r="V99" i="8"/>
  <c r="W99" i="8"/>
  <c r="X99" i="8"/>
  <c r="Y99" i="8"/>
  <c r="Z99" i="8"/>
  <c r="AA99" i="8"/>
  <c r="AB99" i="8"/>
  <c r="AC99" i="8"/>
  <c r="AD99" i="8"/>
  <c r="AE99" i="8"/>
  <c r="AF99" i="8"/>
  <c r="AG99" i="8"/>
  <c r="AH99" i="8"/>
  <c r="N99" i="8"/>
  <c r="AM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N100" i="8"/>
  <c r="AM101" i="8"/>
  <c r="O101" i="8"/>
  <c r="P101" i="8"/>
  <c r="Q101" i="8"/>
  <c r="R101" i="8"/>
  <c r="S101" i="8"/>
  <c r="T101" i="8"/>
  <c r="U101" i="8"/>
  <c r="V101" i="8"/>
  <c r="W101" i="8"/>
  <c r="X101" i="8"/>
  <c r="Y101" i="8"/>
  <c r="Z101" i="8"/>
  <c r="AA101" i="8"/>
  <c r="AB101" i="8"/>
  <c r="AC101" i="8"/>
  <c r="AD101" i="8"/>
  <c r="AE101" i="8"/>
  <c r="AF101" i="8"/>
  <c r="AG101" i="8"/>
  <c r="AH101" i="8"/>
  <c r="N101" i="8"/>
  <c r="AK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N102" i="8"/>
  <c r="AM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AB103" i="8"/>
  <c r="AC103" i="8"/>
  <c r="AD103" i="8"/>
  <c r="AE103" i="8"/>
  <c r="AF103" i="8"/>
  <c r="AG103" i="8"/>
  <c r="AH103" i="8"/>
  <c r="N103" i="8"/>
  <c r="AM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AB104" i="8"/>
  <c r="AC104" i="8"/>
  <c r="AD104" i="8"/>
  <c r="AE104" i="8"/>
  <c r="AF104" i="8"/>
  <c r="AG104" i="8"/>
  <c r="AH104" i="8"/>
  <c r="N104" i="8"/>
  <c r="AM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AB105" i="8"/>
  <c r="AC105" i="8"/>
  <c r="AD105" i="8"/>
  <c r="AE105" i="8"/>
  <c r="AF105" i="8"/>
  <c r="AG105" i="8"/>
  <c r="AH105" i="8"/>
  <c r="N105" i="8"/>
  <c r="AM106" i="8"/>
  <c r="O106" i="8"/>
  <c r="P106" i="8"/>
  <c r="Q106" i="8"/>
  <c r="R106" i="8"/>
  <c r="S106" i="8"/>
  <c r="T106" i="8"/>
  <c r="U106" i="8"/>
  <c r="V106" i="8"/>
  <c r="W106" i="8"/>
  <c r="X106" i="8"/>
  <c r="Y106" i="8"/>
  <c r="Z106" i="8"/>
  <c r="AA106" i="8"/>
  <c r="AB106" i="8"/>
  <c r="AC106" i="8"/>
  <c r="AD106" i="8"/>
  <c r="AE106" i="8"/>
  <c r="AF106" i="8"/>
  <c r="AG106" i="8"/>
  <c r="AH106" i="8"/>
  <c r="N106" i="8"/>
  <c r="N42" i="11"/>
  <c r="N34" i="12"/>
  <c r="N48" i="12"/>
  <c r="N76" i="12" s="1"/>
  <c r="R20" i="9"/>
  <c r="R79" i="14" s="1"/>
  <c r="R88" i="14" s="1"/>
  <c r="F13" i="42" s="1"/>
  <c r="K47" i="11"/>
  <c r="N158" i="6"/>
  <c r="N18" i="13" s="1"/>
  <c r="N162" i="6"/>
  <c r="N22" i="13" s="1"/>
  <c r="K179" i="6"/>
  <c r="K24" i="14" s="1"/>
  <c r="K177" i="6"/>
  <c r="K22" i="14" s="1"/>
  <c r="K173" i="6"/>
  <c r="K18" i="14" s="1"/>
  <c r="K163" i="6"/>
  <c r="K159" i="6"/>
  <c r="K146" i="6"/>
  <c r="K142" i="6"/>
  <c r="K175" i="6"/>
  <c r="K20" i="14" s="1"/>
  <c r="K161" i="6"/>
  <c r="K148" i="6"/>
  <c r="K176" i="6"/>
  <c r="K21" i="14" s="1"/>
  <c r="K172" i="6"/>
  <c r="K17" i="14" s="1"/>
  <c r="K158" i="6"/>
  <c r="K145" i="6"/>
  <c r="K178" i="6"/>
  <c r="K23" i="14" s="1"/>
  <c r="K174" i="6"/>
  <c r="K19" i="14" s="1"/>
  <c r="K164" i="6"/>
  <c r="K160" i="6"/>
  <c r="K156" i="6"/>
  <c r="K147" i="6"/>
  <c r="K143" i="6"/>
  <c r="L5" i="6"/>
  <c r="K171" i="6"/>
  <c r="K16" i="14" s="1"/>
  <c r="K157" i="6"/>
  <c r="K144" i="6"/>
  <c r="K162" i="6"/>
  <c r="K149" i="6"/>
  <c r="K141" i="6"/>
  <c r="P78" i="38"/>
  <c r="L78" i="38"/>
  <c r="N78" i="38"/>
  <c r="M78" i="38"/>
  <c r="K78" i="38"/>
  <c r="Q78" i="38"/>
  <c r="O78" i="38"/>
  <c r="T55" i="34"/>
  <c r="U55" i="34" s="1"/>
  <c r="V55" i="34" s="1"/>
  <c r="W55" i="34" s="1"/>
  <c r="X55" i="34" s="1"/>
  <c r="Y55" i="34" s="1"/>
  <c r="N97" i="38"/>
  <c r="P97" i="38"/>
  <c r="L97" i="38"/>
  <c r="K97" i="38"/>
  <c r="O97" i="38"/>
  <c r="M97" i="38"/>
  <c r="Q97" i="38"/>
  <c r="O212" i="8"/>
  <c r="P212" i="8" s="1"/>
  <c r="Q212" i="8" s="1"/>
  <c r="O465" i="8"/>
  <c r="P465" i="8" s="1"/>
  <c r="O49" i="2"/>
  <c r="S49" i="2"/>
  <c r="W49" i="2"/>
  <c r="Q53" i="2"/>
  <c r="U53" i="2"/>
  <c r="S113" i="6"/>
  <c r="S17" i="11" s="1"/>
  <c r="W113" i="6"/>
  <c r="W17" i="11" s="1"/>
  <c r="S117" i="6"/>
  <c r="S21" i="11" s="1"/>
  <c r="W117" i="6"/>
  <c r="W21" i="11" s="1"/>
  <c r="O464" i="8"/>
  <c r="M35" i="11"/>
  <c r="M47" i="11" s="1"/>
  <c r="P176" i="6"/>
  <c r="P21" i="14" s="1"/>
  <c r="X36" i="2"/>
  <c r="U49" i="2"/>
  <c r="O53" i="2"/>
  <c r="S53" i="2"/>
  <c r="Q113" i="6"/>
  <c r="Q17" i="11" s="1"/>
  <c r="U113" i="6"/>
  <c r="U17" i="11" s="1"/>
  <c r="O239" i="8"/>
  <c r="O158" i="6"/>
  <c r="O18" i="13" s="1"/>
  <c r="N176" i="6"/>
  <c r="N21" i="14" s="1"/>
  <c r="O162" i="6"/>
  <c r="O22" i="13" s="1"/>
  <c r="O315" i="8"/>
  <c r="O360" i="8"/>
  <c r="N478" i="8"/>
  <c r="N860" i="8" s="1"/>
  <c r="W53" i="2"/>
  <c r="Q117" i="6"/>
  <c r="Q21" i="11" s="1"/>
  <c r="U117" i="6"/>
  <c r="U21" i="11" s="1"/>
  <c r="O238" i="8"/>
  <c r="O369" i="8"/>
  <c r="N156" i="6"/>
  <c r="N16" i="13" s="1"/>
  <c r="O172" i="6"/>
  <c r="O17" i="14" s="1"/>
  <c r="P158" i="6"/>
  <c r="P18" i="13" s="1"/>
  <c r="Q115" i="6"/>
  <c r="Q19" i="11" s="1"/>
  <c r="U115" i="6"/>
  <c r="U19" i="11" s="1"/>
  <c r="O176" i="6"/>
  <c r="O21" i="14" s="1"/>
  <c r="P162" i="6"/>
  <c r="P22" i="13" s="1"/>
  <c r="Q119" i="6"/>
  <c r="Q23" i="11" s="1"/>
  <c r="U119" i="6"/>
  <c r="U23" i="11" s="1"/>
  <c r="O220" i="8"/>
  <c r="O221" i="8"/>
  <c r="O247" i="8"/>
  <c r="O265" i="8"/>
  <c r="O292" i="8"/>
  <c r="N68" i="11"/>
  <c r="O32" i="10"/>
  <c r="O228" i="34" s="1"/>
  <c r="Q80" i="11"/>
  <c r="Q89" i="11" s="1"/>
  <c r="R12" i="11"/>
  <c r="P80" i="11"/>
  <c r="P89" i="11" s="1"/>
  <c r="Q15" i="34"/>
  <c r="Q63" i="34" s="1"/>
  <c r="U15" i="34"/>
  <c r="U63" i="34" s="1"/>
  <c r="N16" i="34"/>
  <c r="R16" i="34"/>
  <c r="R122" i="34" s="1"/>
  <c r="R123" i="34" s="1"/>
  <c r="V16" i="34"/>
  <c r="V67" i="34" s="1"/>
  <c r="V201" i="34" s="1"/>
  <c r="Q28" i="34"/>
  <c r="Q76" i="34" s="1"/>
  <c r="Q79" i="34" s="1"/>
  <c r="Q80" i="34" s="1"/>
  <c r="U28" i="34"/>
  <c r="U76" i="34" s="1"/>
  <c r="U79" i="34" s="1"/>
  <c r="U80" i="34" s="1"/>
  <c r="U137" i="34" s="1"/>
  <c r="N29" i="34"/>
  <c r="P29" i="34"/>
  <c r="P82" i="34" s="1"/>
  <c r="T29" i="34"/>
  <c r="T82" i="34" s="1"/>
  <c r="X29" i="34"/>
  <c r="X82" i="34" s="1"/>
  <c r="P30" i="34"/>
  <c r="P224" i="34" s="1"/>
  <c r="R30" i="34"/>
  <c r="R151" i="34" s="1"/>
  <c r="R152" i="34" s="1"/>
  <c r="V30" i="34"/>
  <c r="V87" i="34" s="1"/>
  <c r="X30" i="34"/>
  <c r="X87" i="34" s="1"/>
  <c r="N31" i="34"/>
  <c r="R31" i="34"/>
  <c r="R235" i="34" s="1"/>
  <c r="X31" i="34"/>
  <c r="X164" i="34" s="1"/>
  <c r="O15" i="34"/>
  <c r="O190" i="34" s="1"/>
  <c r="O191" i="34" s="1"/>
  <c r="S15" i="34"/>
  <c r="S190" i="34" s="1"/>
  <c r="S191" i="34" s="1"/>
  <c r="W15" i="34"/>
  <c r="W106" i="34" s="1"/>
  <c r="P16" i="34"/>
  <c r="P67" i="34" s="1"/>
  <c r="P201" i="34" s="1"/>
  <c r="P202" i="34" s="1"/>
  <c r="T16" i="34"/>
  <c r="T122" i="34" s="1"/>
  <c r="T123" i="34" s="1"/>
  <c r="X16" i="34"/>
  <c r="X122" i="34" s="1"/>
  <c r="O28" i="34"/>
  <c r="O76" i="34" s="1"/>
  <c r="O79" i="34" s="1"/>
  <c r="O80" i="34" s="1"/>
  <c r="S28" i="34"/>
  <c r="S76" i="34" s="1"/>
  <c r="S79" i="34" s="1"/>
  <c r="S80" i="34" s="1"/>
  <c r="W28" i="34"/>
  <c r="W76" i="34" s="1"/>
  <c r="W79" i="34" s="1"/>
  <c r="W80" i="34" s="1"/>
  <c r="W137" i="34" s="1"/>
  <c r="R29" i="34"/>
  <c r="R82" i="34" s="1"/>
  <c r="V29" i="34"/>
  <c r="V82" i="34" s="1"/>
  <c r="N30" i="34"/>
  <c r="T30" i="34"/>
  <c r="T87" i="34" s="1"/>
  <c r="P31" i="34"/>
  <c r="P235" i="34" s="1"/>
  <c r="T31" i="34"/>
  <c r="T92" i="34" s="1"/>
  <c r="V31" i="34"/>
  <c r="V92" i="34" s="1"/>
  <c r="N15" i="34"/>
  <c r="P15" i="34"/>
  <c r="P106" i="34" s="1"/>
  <c r="P107" i="34" s="1"/>
  <c r="P192" i="34" s="1"/>
  <c r="R15" i="34"/>
  <c r="R106" i="34" s="1"/>
  <c r="R107" i="34" s="1"/>
  <c r="R192" i="34" s="1"/>
  <c r="T15" i="34"/>
  <c r="T63" i="34" s="1"/>
  <c r="V15" i="34"/>
  <c r="V63" i="34" s="1"/>
  <c r="X15" i="34"/>
  <c r="X106" i="34" s="1"/>
  <c r="O16" i="34"/>
  <c r="O122" i="34" s="1"/>
  <c r="O123" i="34" s="1"/>
  <c r="Q16" i="34"/>
  <c r="Q67" i="34" s="1"/>
  <c r="Q201" i="34" s="1"/>
  <c r="S16" i="34"/>
  <c r="S67" i="34" s="1"/>
  <c r="S201" i="34" s="1"/>
  <c r="U16" i="34"/>
  <c r="U67" i="34" s="1"/>
  <c r="U201" i="34" s="1"/>
  <c r="W16" i="34"/>
  <c r="W122" i="34" s="1"/>
  <c r="N28" i="34"/>
  <c r="P28" i="34"/>
  <c r="P76" i="34" s="1"/>
  <c r="P79" i="34" s="1"/>
  <c r="P80" i="34" s="1"/>
  <c r="R28" i="34"/>
  <c r="R76" i="34" s="1"/>
  <c r="R79" i="34" s="1"/>
  <c r="R80" i="34" s="1"/>
  <c r="T28" i="34"/>
  <c r="T76" i="34" s="1"/>
  <c r="T79" i="34" s="1"/>
  <c r="T80" i="34" s="1"/>
  <c r="T137" i="34" s="1"/>
  <c r="V28" i="34"/>
  <c r="V76" i="34" s="1"/>
  <c r="V79" i="34" s="1"/>
  <c r="V80" i="34" s="1"/>
  <c r="V137" i="34" s="1"/>
  <c r="X28" i="34"/>
  <c r="X76" i="34" s="1"/>
  <c r="X79" i="34" s="1"/>
  <c r="X80" i="34" s="1"/>
  <c r="X137" i="34" s="1"/>
  <c r="O29" i="34"/>
  <c r="O82" i="34" s="1"/>
  <c r="Q29" i="34"/>
  <c r="Q136" i="34" s="1"/>
  <c r="S29" i="34"/>
  <c r="S136" i="34" s="1"/>
  <c r="U29" i="34"/>
  <c r="U82" i="34" s="1"/>
  <c r="W29" i="34"/>
  <c r="W136" i="34" s="1"/>
  <c r="O30" i="34"/>
  <c r="O87" i="34" s="1"/>
  <c r="Q30" i="34"/>
  <c r="S30" i="34"/>
  <c r="S224" i="34" s="1"/>
  <c r="U30" i="34"/>
  <c r="U87" i="34" s="1"/>
  <c r="W30" i="34"/>
  <c r="W87" i="34" s="1"/>
  <c r="O31" i="34"/>
  <c r="O92" i="34" s="1"/>
  <c r="Q31" i="34"/>
  <c r="S31" i="34"/>
  <c r="S164" i="34" s="1"/>
  <c r="S165" i="34" s="1"/>
  <c r="U31" i="34"/>
  <c r="U164" i="34" s="1"/>
  <c r="W31" i="34"/>
  <c r="W164" i="34" s="1"/>
  <c r="P36" i="2"/>
  <c r="O143" i="8"/>
  <c r="N193" i="8"/>
  <c r="N579" i="8" s="1"/>
  <c r="O325" i="8"/>
  <c r="P325" i="8" s="1"/>
  <c r="Q325" i="8" s="1"/>
  <c r="O333" i="8"/>
  <c r="O334" i="8"/>
  <c r="P334" i="8" s="1"/>
  <c r="O342" i="8"/>
  <c r="O343" i="8"/>
  <c r="P343" i="8" s="1"/>
  <c r="O351" i="8"/>
  <c r="O352" i="8"/>
  <c r="P352" i="8" s="1"/>
  <c r="O361" i="8"/>
  <c r="P361" i="8" s="1"/>
  <c r="O370" i="8"/>
  <c r="P370" i="8" s="1"/>
  <c r="O388" i="8"/>
  <c r="P388" i="8" s="1"/>
  <c r="Q388" i="8" s="1"/>
  <c r="R388" i="8" s="1"/>
  <c r="O419" i="8"/>
  <c r="N14" i="2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N30" i="2"/>
  <c r="P30" i="2"/>
  <c r="R30" i="2"/>
  <c r="T30" i="2"/>
  <c r="V30" i="2"/>
  <c r="X30" i="2"/>
  <c r="U25" i="2"/>
  <c r="T36" i="2"/>
  <c r="O134" i="8"/>
  <c r="O144" i="8"/>
  <c r="P144" i="8" s="1"/>
  <c r="Q144" i="8" s="1"/>
  <c r="R144" i="8" s="1"/>
  <c r="O170" i="8"/>
  <c r="O197" i="8"/>
  <c r="O256" i="8"/>
  <c r="O257" i="8"/>
  <c r="P257" i="8" s="1"/>
  <c r="O293" i="8"/>
  <c r="P293" i="8" s="1"/>
  <c r="O410" i="8"/>
  <c r="O411" i="8"/>
  <c r="P411" i="8" s="1"/>
  <c r="O420" i="8"/>
  <c r="P420" i="8" s="1"/>
  <c r="Q420" i="8" s="1"/>
  <c r="O428" i="8"/>
  <c r="O429" i="8"/>
  <c r="L35" i="11"/>
  <c r="L47" i="11" s="1"/>
  <c r="O30" i="2"/>
  <c r="O32" i="2" s="1"/>
  <c r="Q30" i="2"/>
  <c r="S30" i="2"/>
  <c r="U30" i="2"/>
  <c r="W30" i="2"/>
  <c r="W32" i="2" s="1"/>
  <c r="W22" i="2"/>
  <c r="N36" i="2"/>
  <c r="R36" i="2"/>
  <c r="V36" i="2"/>
  <c r="U19" i="2"/>
  <c r="O22" i="2"/>
  <c r="Q22" i="2"/>
  <c r="S22" i="2"/>
  <c r="U22" i="2"/>
  <c r="Q25" i="2"/>
  <c r="O36" i="2"/>
  <c r="Q36" i="2"/>
  <c r="S36" i="2"/>
  <c r="U36" i="2"/>
  <c r="W36" i="2"/>
  <c r="X35" i="2" s="1"/>
  <c r="N49" i="2"/>
  <c r="P49" i="2"/>
  <c r="R49" i="2"/>
  <c r="T49" i="2"/>
  <c r="V49" i="2"/>
  <c r="X49" i="2"/>
  <c r="N53" i="2"/>
  <c r="P53" i="2"/>
  <c r="T53" i="2"/>
  <c r="V53" i="2"/>
  <c r="X53" i="2"/>
  <c r="O171" i="6"/>
  <c r="O16" i="14" s="1"/>
  <c r="Q141" i="6"/>
  <c r="Q17" i="12" s="1"/>
  <c r="S141" i="6"/>
  <c r="S17" i="12" s="1"/>
  <c r="U141" i="6"/>
  <c r="U17" i="12" s="1"/>
  <c r="W141" i="6"/>
  <c r="W17" i="12" s="1"/>
  <c r="N113" i="6"/>
  <c r="N17" i="11" s="1"/>
  <c r="P157" i="6"/>
  <c r="P17" i="13" s="1"/>
  <c r="P26" i="13" s="1"/>
  <c r="Q143" i="6"/>
  <c r="Q19" i="12" s="1"/>
  <c r="S143" i="6"/>
  <c r="S19" i="12" s="1"/>
  <c r="U143" i="6"/>
  <c r="U19" i="12" s="1"/>
  <c r="W143" i="6"/>
  <c r="W19" i="12" s="1"/>
  <c r="N115" i="6"/>
  <c r="N19" i="11" s="1"/>
  <c r="P159" i="6"/>
  <c r="P19" i="13" s="1"/>
  <c r="O175" i="6"/>
  <c r="O20" i="14" s="1"/>
  <c r="Q145" i="6"/>
  <c r="Q21" i="12" s="1"/>
  <c r="U145" i="6"/>
  <c r="U21" i="12" s="1"/>
  <c r="O116" i="8"/>
  <c r="O117" i="8"/>
  <c r="P117" i="8" s="1"/>
  <c r="Q117" i="8" s="1"/>
  <c r="Q19" i="2"/>
  <c r="N33" i="11"/>
  <c r="O402" i="8"/>
  <c r="P402" i="8" s="1"/>
  <c r="Q402" i="8" s="1"/>
  <c r="R402" i="8" s="1"/>
  <c r="Q20" i="9"/>
  <c r="Q79" i="14" s="1"/>
  <c r="Q88" i="14" s="1"/>
  <c r="E13" i="42" s="1"/>
  <c r="O248" i="8"/>
  <c r="P248" i="8" s="1"/>
  <c r="Q248" i="8" s="1"/>
  <c r="O126" i="8"/>
  <c r="P126" i="8" s="1"/>
  <c r="Q126" i="8" s="1"/>
  <c r="R126" i="8" s="1"/>
  <c r="O162" i="8"/>
  <c r="P162" i="8" s="1"/>
  <c r="Q162" i="8" s="1"/>
  <c r="R162" i="8" s="1"/>
  <c r="O437" i="8"/>
  <c r="O446" i="8"/>
  <c r="O447" i="8"/>
  <c r="P447" i="8" s="1"/>
  <c r="O482" i="8"/>
  <c r="O483" i="8"/>
  <c r="P483" i="8" s="1"/>
  <c r="N37" i="11"/>
  <c r="N39" i="11"/>
  <c r="N68" i="12"/>
  <c r="N65" i="13"/>
  <c r="N67" i="14"/>
  <c r="O438" i="8"/>
  <c r="P438" i="8" s="1"/>
  <c r="P239" i="34"/>
  <c r="P217" i="34"/>
  <c r="P156" i="34"/>
  <c r="P111" i="34"/>
  <c r="P228" i="34"/>
  <c r="P206" i="34"/>
  <c r="P195" i="34"/>
  <c r="P169" i="34"/>
  <c r="P142" i="34"/>
  <c r="P127" i="34"/>
  <c r="R239" i="34"/>
  <c r="R217" i="34"/>
  <c r="R156" i="34"/>
  <c r="R111" i="34"/>
  <c r="R228" i="34"/>
  <c r="R206" i="34"/>
  <c r="R195" i="34"/>
  <c r="R169" i="34"/>
  <c r="R142" i="34"/>
  <c r="R127" i="34"/>
  <c r="T239" i="34"/>
  <c r="T217" i="34"/>
  <c r="T156" i="34"/>
  <c r="T111" i="34"/>
  <c r="T228" i="34"/>
  <c r="T206" i="34"/>
  <c r="T195" i="34"/>
  <c r="T169" i="34"/>
  <c r="T142" i="34"/>
  <c r="T127" i="34"/>
  <c r="V239" i="34"/>
  <c r="V217" i="34"/>
  <c r="V156" i="34"/>
  <c r="V111" i="34"/>
  <c r="V228" i="34"/>
  <c r="V206" i="34"/>
  <c r="V195" i="34"/>
  <c r="V169" i="34"/>
  <c r="V142" i="34"/>
  <c r="V127" i="34"/>
  <c r="X239" i="34"/>
  <c r="X217" i="34"/>
  <c r="X156" i="34"/>
  <c r="X111" i="34"/>
  <c r="X228" i="34"/>
  <c r="X206" i="34"/>
  <c r="X195" i="34"/>
  <c r="X169" i="34"/>
  <c r="X142" i="34"/>
  <c r="X127" i="34"/>
  <c r="O206" i="34"/>
  <c r="O195" i="34"/>
  <c r="O127" i="34"/>
  <c r="O239" i="34"/>
  <c r="O111" i="34"/>
  <c r="Q228" i="34"/>
  <c r="Q206" i="34"/>
  <c r="Q195" i="34"/>
  <c r="Q169" i="34"/>
  <c r="Q142" i="34"/>
  <c r="Q127" i="34"/>
  <c r="Q239" i="34"/>
  <c r="Q217" i="34"/>
  <c r="Q156" i="34"/>
  <c r="Q111" i="34"/>
  <c r="S228" i="34"/>
  <c r="S206" i="34"/>
  <c r="S195" i="34"/>
  <c r="S169" i="34"/>
  <c r="S142" i="34"/>
  <c r="S127" i="34"/>
  <c r="S239" i="34"/>
  <c r="S217" i="34"/>
  <c r="S156" i="34"/>
  <c r="S111" i="34"/>
  <c r="U228" i="34"/>
  <c r="U206" i="34"/>
  <c r="U195" i="34"/>
  <c r="U169" i="34"/>
  <c r="U142" i="34"/>
  <c r="U127" i="34"/>
  <c r="U239" i="34"/>
  <c r="U217" i="34"/>
  <c r="U156" i="34"/>
  <c r="U111" i="34"/>
  <c r="W228" i="34"/>
  <c r="W206" i="34"/>
  <c r="W195" i="34"/>
  <c r="W169" i="34"/>
  <c r="W142" i="34"/>
  <c r="W127" i="34"/>
  <c r="W239" i="34"/>
  <c r="W217" i="34"/>
  <c r="W156" i="34"/>
  <c r="W111" i="34"/>
  <c r="AL97" i="8"/>
  <c r="AL101" i="8"/>
  <c r="AL105" i="8"/>
  <c r="O25" i="2"/>
  <c r="P25" i="2"/>
  <c r="R25" i="2"/>
  <c r="T25" i="2"/>
  <c r="V25" i="2"/>
  <c r="X25" i="2"/>
  <c r="M22" i="9"/>
  <c r="O19" i="2"/>
  <c r="S19" i="2"/>
  <c r="W19" i="2"/>
  <c r="P22" i="2"/>
  <c r="R22" i="2"/>
  <c r="T22" i="2"/>
  <c r="V22" i="2"/>
  <c r="X22" i="2"/>
  <c r="S25" i="2"/>
  <c r="W25" i="2"/>
  <c r="P112" i="6"/>
  <c r="P16" i="11" s="1"/>
  <c r="P120" i="6"/>
  <c r="P24" i="11" s="1"/>
  <c r="O159" i="6"/>
  <c r="O19" i="13" s="1"/>
  <c r="O163" i="6"/>
  <c r="O23" i="13" s="1"/>
  <c r="P171" i="6"/>
  <c r="P16" i="14" s="1"/>
  <c r="P173" i="6"/>
  <c r="P18" i="14" s="1"/>
  <c r="P175" i="6"/>
  <c r="P20" i="14" s="1"/>
  <c r="P177" i="6"/>
  <c r="P22" i="14" s="1"/>
  <c r="P179" i="6"/>
  <c r="P24" i="14" s="1"/>
  <c r="AJ97" i="8"/>
  <c r="AL99" i="8"/>
  <c r="AJ101" i="8"/>
  <c r="AL103" i="8"/>
  <c r="AJ105" i="8"/>
  <c r="N288" i="8"/>
  <c r="N383" i="8"/>
  <c r="O474" i="8"/>
  <c r="P474" i="8" s="1"/>
  <c r="O142" i="6"/>
  <c r="O18" i="12" s="1"/>
  <c r="N114" i="6"/>
  <c r="N18" i="11" s="1"/>
  <c r="P114" i="6"/>
  <c r="P18" i="11" s="1"/>
  <c r="O144" i="6"/>
  <c r="O20" i="12" s="1"/>
  <c r="N116" i="6"/>
  <c r="N20" i="11" s="1"/>
  <c r="P116" i="6"/>
  <c r="P20" i="11" s="1"/>
  <c r="O146" i="6"/>
  <c r="O22" i="12" s="1"/>
  <c r="N118" i="6"/>
  <c r="N22" i="11" s="1"/>
  <c r="P118" i="6"/>
  <c r="P22" i="11" s="1"/>
  <c r="O148" i="6"/>
  <c r="O24" i="12" s="1"/>
  <c r="N112" i="6"/>
  <c r="N16" i="11" s="1"/>
  <c r="N120" i="6"/>
  <c r="N24" i="11" s="1"/>
  <c r="O157" i="6"/>
  <c r="O17" i="13" s="1"/>
  <c r="O161" i="6"/>
  <c r="O21" i="13" s="1"/>
  <c r="N171" i="6"/>
  <c r="N16" i="14" s="1"/>
  <c r="N173" i="6"/>
  <c r="N18" i="14" s="1"/>
  <c r="N175" i="6"/>
  <c r="N20" i="14" s="1"/>
  <c r="N177" i="6"/>
  <c r="N22" i="14" s="1"/>
  <c r="N179" i="6"/>
  <c r="N24" i="14" s="1"/>
  <c r="AJ99" i="8"/>
  <c r="AJ103" i="8"/>
  <c r="O153" i="8"/>
  <c r="P153" i="8" s="1"/>
  <c r="Q153" i="8" s="1"/>
  <c r="O306" i="8"/>
  <c r="O188" i="8"/>
  <c r="X316" i="8"/>
  <c r="M574" i="8"/>
  <c r="N578" i="8" s="1"/>
  <c r="N41" i="11" s="1"/>
  <c r="N574" i="8"/>
  <c r="O578" i="8" s="1"/>
  <c r="Q43" i="2"/>
  <c r="S43" i="2"/>
  <c r="U43" i="2"/>
  <c r="W43" i="2"/>
  <c r="O224" i="34"/>
  <c r="Q49" i="2"/>
  <c r="R53" i="2"/>
  <c r="P23" i="6"/>
  <c r="P113" i="6"/>
  <c r="P17" i="11" s="1"/>
  <c r="P115" i="6"/>
  <c r="P19" i="11" s="1"/>
  <c r="P117" i="6"/>
  <c r="P21" i="11" s="1"/>
  <c r="P119" i="6"/>
  <c r="P23" i="11" s="1"/>
  <c r="O141" i="6"/>
  <c r="O17" i="12" s="1"/>
  <c r="O143" i="6"/>
  <c r="O19" i="12" s="1"/>
  <c r="O145" i="6"/>
  <c r="O21" i="12" s="1"/>
  <c r="O147" i="6"/>
  <c r="O23" i="12" s="1"/>
  <c r="O156" i="6"/>
  <c r="O16" i="13" s="1"/>
  <c r="O160" i="6"/>
  <c r="O20" i="13" s="1"/>
  <c r="O164" i="6"/>
  <c r="O24" i="13" s="1"/>
  <c r="N172" i="6"/>
  <c r="N17" i="14" s="1"/>
  <c r="P172" i="6"/>
  <c r="P17" i="14" s="1"/>
  <c r="N174" i="6"/>
  <c r="N19" i="14" s="1"/>
  <c r="P174" i="6"/>
  <c r="P19" i="14" s="1"/>
  <c r="AK98" i="8"/>
  <c r="AK100" i="8"/>
  <c r="AI102" i="8"/>
  <c r="AM102" i="8"/>
  <c r="AK104" i="8"/>
  <c r="AK106" i="8"/>
  <c r="P19" i="2"/>
  <c r="R19" i="2"/>
  <c r="T19" i="2"/>
  <c r="V19" i="2"/>
  <c r="X19" i="2"/>
  <c r="N43" i="2"/>
  <c r="P43" i="2"/>
  <c r="R43" i="2"/>
  <c r="T43" i="2"/>
  <c r="V43" i="2"/>
  <c r="X43" i="2"/>
  <c r="O23" i="6"/>
  <c r="O112" i="6"/>
  <c r="O16" i="11" s="1"/>
  <c r="O113" i="6"/>
  <c r="O17" i="11" s="1"/>
  <c r="O114" i="6"/>
  <c r="O18" i="11" s="1"/>
  <c r="O115" i="6"/>
  <c r="O19" i="11" s="1"/>
  <c r="O116" i="6"/>
  <c r="O20" i="11" s="1"/>
  <c r="O117" i="6"/>
  <c r="O21" i="11" s="1"/>
  <c r="O118" i="6"/>
  <c r="O22" i="11" s="1"/>
  <c r="O119" i="6"/>
  <c r="O23" i="11" s="1"/>
  <c r="O120" i="6"/>
  <c r="O24" i="11" s="1"/>
  <c r="N141" i="6"/>
  <c r="P141" i="6"/>
  <c r="N142" i="6"/>
  <c r="N18" i="12" s="1"/>
  <c r="P142" i="6"/>
  <c r="P18" i="12" s="1"/>
  <c r="N143" i="6"/>
  <c r="N19" i="12" s="1"/>
  <c r="P143" i="6"/>
  <c r="P19" i="12" s="1"/>
  <c r="N144" i="6"/>
  <c r="N20" i="12" s="1"/>
  <c r="P144" i="6"/>
  <c r="P20" i="12" s="1"/>
  <c r="N145" i="6"/>
  <c r="N21" i="12" s="1"/>
  <c r="P145" i="6"/>
  <c r="P21" i="12" s="1"/>
  <c r="N146" i="6"/>
  <c r="N22" i="12" s="1"/>
  <c r="P146" i="6"/>
  <c r="P22" i="12" s="1"/>
  <c r="N147" i="6"/>
  <c r="N23" i="12" s="1"/>
  <c r="P147" i="6"/>
  <c r="P23" i="12" s="1"/>
  <c r="N148" i="6"/>
  <c r="N24" i="12" s="1"/>
  <c r="P148" i="6"/>
  <c r="P24" i="12" s="1"/>
  <c r="N149" i="6"/>
  <c r="N25" i="12" s="1"/>
  <c r="P149" i="6"/>
  <c r="P25" i="12" s="1"/>
  <c r="N157" i="6"/>
  <c r="N17" i="13" s="1"/>
  <c r="N159" i="6"/>
  <c r="N19" i="13" s="1"/>
  <c r="N161" i="6"/>
  <c r="N21" i="13" s="1"/>
  <c r="P161" i="6"/>
  <c r="P21" i="13" s="1"/>
  <c r="N163" i="6"/>
  <c r="N23" i="13" s="1"/>
  <c r="P163" i="6"/>
  <c r="P23" i="13" s="1"/>
  <c r="O173" i="6"/>
  <c r="O18" i="14" s="1"/>
  <c r="O177" i="6"/>
  <c r="O22" i="14" s="1"/>
  <c r="O179" i="6"/>
  <c r="O24" i="14" s="1"/>
  <c r="AI97" i="8"/>
  <c r="AK97" i="8"/>
  <c r="AJ98" i="8"/>
  <c r="AL98" i="8"/>
  <c r="AI99" i="8"/>
  <c r="AK99" i="8"/>
  <c r="AJ100" i="8"/>
  <c r="AL100" i="8"/>
  <c r="O155" i="8"/>
  <c r="AI101" i="8"/>
  <c r="AK101" i="8"/>
  <c r="AJ102" i="8"/>
  <c r="AL102" i="8"/>
  <c r="AI103" i="8"/>
  <c r="AK103" i="8"/>
  <c r="AJ104" i="8"/>
  <c r="AL104" i="8"/>
  <c r="AI105" i="8"/>
  <c r="AK105" i="8"/>
  <c r="AJ106" i="8"/>
  <c r="AL106" i="8"/>
  <c r="O125" i="8"/>
  <c r="O135" i="8"/>
  <c r="P135" i="8" s="1"/>
  <c r="O161" i="8"/>
  <c r="O171" i="8"/>
  <c r="P171" i="8" s="1"/>
  <c r="Q171" i="8" s="1"/>
  <c r="O179" i="8"/>
  <c r="O180" i="8"/>
  <c r="O189" i="8"/>
  <c r="O198" i="8"/>
  <c r="P198" i="8" s="1"/>
  <c r="Q198" i="8" s="1"/>
  <c r="O229" i="8"/>
  <c r="O266" i="8"/>
  <c r="P266" i="8" s="1"/>
  <c r="P284" i="8"/>
  <c r="O307" i="8"/>
  <c r="P307" i="8" s="1"/>
  <c r="O324" i="8"/>
  <c r="P379" i="8"/>
  <c r="O387" i="8"/>
  <c r="O401" i="8"/>
  <c r="O455" i="8"/>
  <c r="O456" i="8"/>
  <c r="N36" i="11"/>
  <c r="N38" i="11"/>
  <c r="O43" i="2"/>
  <c r="N23" i="6"/>
  <c r="N117" i="6"/>
  <c r="N21" i="11" s="1"/>
  <c r="N119" i="6"/>
  <c r="N23" i="11" s="1"/>
  <c r="AI98" i="8"/>
  <c r="AI100" i="8"/>
  <c r="AI104" i="8"/>
  <c r="O485" i="8"/>
  <c r="AI106" i="8"/>
  <c r="P58" i="34"/>
  <c r="R58" i="34"/>
  <c r="T58" i="34"/>
  <c r="V58" i="34"/>
  <c r="X58" i="34"/>
  <c r="U190" i="34"/>
  <c r="O67" i="34"/>
  <c r="O201" i="34" s="1"/>
  <c r="O202" i="34" s="1"/>
  <c r="S20" i="9"/>
  <c r="S79" i="14" s="1"/>
  <c r="S88" i="14" s="1"/>
  <c r="G13" i="42" s="1"/>
  <c r="Q135" i="8"/>
  <c r="O58" i="34"/>
  <c r="Q58" i="34"/>
  <c r="S58" i="34"/>
  <c r="U58" i="34"/>
  <c r="W58" i="34"/>
  <c r="P122" i="34"/>
  <c r="P123" i="34" s="1"/>
  <c r="N53" i="11"/>
  <c r="O502" i="8"/>
  <c r="O505" i="8"/>
  <c r="N54" i="11"/>
  <c r="O511" i="8"/>
  <c r="O514" i="8"/>
  <c r="N56" i="11"/>
  <c r="O529" i="8"/>
  <c r="N58" i="11"/>
  <c r="O550" i="8"/>
  <c r="O547" i="8"/>
  <c r="O173" i="8"/>
  <c r="N60" i="11"/>
  <c r="O565" i="8"/>
  <c r="N56" i="12"/>
  <c r="O614" i="8"/>
  <c r="N57" i="12"/>
  <c r="O623" i="8"/>
  <c r="N60" i="12"/>
  <c r="O650" i="8"/>
  <c r="O653" i="8"/>
  <c r="Q275" i="8"/>
  <c r="R275" i="8" s="1"/>
  <c r="N63" i="12"/>
  <c r="O677" i="8"/>
  <c r="N51" i="13"/>
  <c r="O690" i="8"/>
  <c r="O693" i="8"/>
  <c r="R325" i="8"/>
  <c r="N55" i="11"/>
  <c r="O520" i="8"/>
  <c r="N57" i="11"/>
  <c r="O538" i="8"/>
  <c r="O164" i="8"/>
  <c r="N59" i="11"/>
  <c r="O559" i="8"/>
  <c r="O556" i="8"/>
  <c r="M565" i="8"/>
  <c r="N569" i="8" s="1"/>
  <c r="N40" i="11" s="1"/>
  <c r="N565" i="8"/>
  <c r="O569" i="8" s="1"/>
  <c r="N62" i="11"/>
  <c r="O583" i="8"/>
  <c r="N54" i="12"/>
  <c r="O596" i="8"/>
  <c r="O599" i="8"/>
  <c r="N55" i="12"/>
  <c r="O608" i="8"/>
  <c r="O605" i="8"/>
  <c r="O230" i="8"/>
  <c r="N58" i="12"/>
  <c r="O632" i="8"/>
  <c r="N59" i="12"/>
  <c r="O641" i="8"/>
  <c r="O644" i="8"/>
  <c r="O268" i="8"/>
  <c r="N61" i="12"/>
  <c r="O659" i="8"/>
  <c r="O662" i="8"/>
  <c r="Q370" i="8"/>
  <c r="N53" i="13"/>
  <c r="O708" i="8"/>
  <c r="N54" i="13"/>
  <c r="O717" i="8"/>
  <c r="Q343" i="8"/>
  <c r="N57" i="13"/>
  <c r="O744" i="8"/>
  <c r="O747" i="8"/>
  <c r="N60" i="13"/>
  <c r="O771" i="8"/>
  <c r="N53" i="14"/>
  <c r="O786" i="8"/>
  <c r="O783" i="8"/>
  <c r="N54" i="14"/>
  <c r="O795" i="8"/>
  <c r="O792" i="8"/>
  <c r="N34" i="11"/>
  <c r="N52" i="13"/>
  <c r="O702" i="8"/>
  <c r="O699" i="8"/>
  <c r="N55" i="13"/>
  <c r="O726" i="8"/>
  <c r="N56" i="13"/>
  <c r="O735" i="8"/>
  <c r="O738" i="8"/>
  <c r="N58" i="13"/>
  <c r="O753" i="8"/>
  <c r="O756" i="8"/>
  <c r="N55" i="14"/>
  <c r="O801" i="8"/>
  <c r="N56" i="14"/>
  <c r="O810" i="8"/>
  <c r="N57" i="14"/>
  <c r="O819" i="8"/>
  <c r="N58" i="14"/>
  <c r="O831" i="8"/>
  <c r="O828" i="8"/>
  <c r="N59" i="14"/>
  <c r="O837" i="8"/>
  <c r="O840" i="8"/>
  <c r="N60" i="14"/>
  <c r="O846" i="8"/>
  <c r="O849" i="8"/>
  <c r="N62" i="14"/>
  <c r="O864" i="8"/>
  <c r="N35" i="11"/>
  <c r="T20" i="34"/>
  <c r="T211" i="34"/>
  <c r="U188" i="34"/>
  <c r="T104" i="34"/>
  <c r="T134" i="34"/>
  <c r="V120" i="34"/>
  <c r="T149" i="34"/>
  <c r="T233" i="34"/>
  <c r="T162" i="34"/>
  <c r="Y65" i="13"/>
  <c r="Y67" i="14"/>
  <c r="Y68" i="12"/>
  <c r="Y68" i="11"/>
  <c r="Y22" i="6"/>
  <c r="Y150" i="6" s="1"/>
  <c r="Y26" i="12" s="1"/>
  <c r="Y21" i="6"/>
  <c r="Y20" i="6"/>
  <c r="Y19" i="6"/>
  <c r="Y18" i="6"/>
  <c r="Y17" i="6"/>
  <c r="Y16" i="6"/>
  <c r="Y15" i="6"/>
  <c r="Y14" i="6"/>
  <c r="Y13" i="6"/>
  <c r="P17" i="9"/>
  <c r="R17" i="9"/>
  <c r="P18" i="9"/>
  <c r="P79" i="12" s="1"/>
  <c r="P88" i="12" s="1"/>
  <c r="D13" i="40" s="1"/>
  <c r="R18" i="9"/>
  <c r="R79" i="12" s="1"/>
  <c r="R88" i="12" s="1"/>
  <c r="F13" i="40" s="1"/>
  <c r="P19" i="9"/>
  <c r="P76" i="13" s="1"/>
  <c r="P85" i="13" s="1"/>
  <c r="D13" i="41" s="1"/>
  <c r="R19" i="9"/>
  <c r="R76" i="13" s="1"/>
  <c r="R85" i="13" s="1"/>
  <c r="F13" i="41" s="1"/>
  <c r="O67" i="14"/>
  <c r="Q65" i="13"/>
  <c r="Q67" i="14"/>
  <c r="S65" i="13"/>
  <c r="S67" i="14"/>
  <c r="U65" i="13"/>
  <c r="U67" i="14"/>
  <c r="W65" i="13"/>
  <c r="W67" i="14"/>
  <c r="O68" i="11"/>
  <c r="Q68" i="11"/>
  <c r="S68" i="11"/>
  <c r="U68" i="11"/>
  <c r="W68" i="11"/>
  <c r="Q68" i="12"/>
  <c r="S68" i="12"/>
  <c r="U68" i="12"/>
  <c r="W68" i="12"/>
  <c r="Q17" i="9"/>
  <c r="S17" i="9"/>
  <c r="Q18" i="9"/>
  <c r="Q79" i="12" s="1"/>
  <c r="Q88" i="12" s="1"/>
  <c r="E13" i="40" s="1"/>
  <c r="S18" i="9"/>
  <c r="S79" i="12" s="1"/>
  <c r="S88" i="12" s="1"/>
  <c r="G13" i="40" s="1"/>
  <c r="Q19" i="9"/>
  <c r="Q76" i="13" s="1"/>
  <c r="Q85" i="13" s="1"/>
  <c r="E13" i="41" s="1"/>
  <c r="S19" i="9"/>
  <c r="S76" i="13" s="1"/>
  <c r="S85" i="13" s="1"/>
  <c r="G13" i="41" s="1"/>
  <c r="P67" i="14"/>
  <c r="P65" i="13"/>
  <c r="R67" i="14"/>
  <c r="R65" i="13"/>
  <c r="T67" i="14"/>
  <c r="T65" i="13"/>
  <c r="V67" i="14"/>
  <c r="V65" i="13"/>
  <c r="X67" i="14"/>
  <c r="X65" i="13"/>
  <c r="P68" i="11"/>
  <c r="R68" i="11"/>
  <c r="T68" i="11"/>
  <c r="V68" i="11"/>
  <c r="X68" i="11"/>
  <c r="P68" i="12"/>
  <c r="R68" i="12"/>
  <c r="T68" i="12"/>
  <c r="V68" i="12"/>
  <c r="X68" i="12"/>
  <c r="R171" i="6"/>
  <c r="R156" i="6"/>
  <c r="T171" i="6"/>
  <c r="T156" i="6"/>
  <c r="V171" i="6"/>
  <c r="V156" i="6"/>
  <c r="X171" i="6"/>
  <c r="X156" i="6"/>
  <c r="R172" i="6"/>
  <c r="R17" i="14" s="1"/>
  <c r="R157" i="6"/>
  <c r="R17" i="13" s="1"/>
  <c r="T172" i="6"/>
  <c r="T17" i="14" s="1"/>
  <c r="T157" i="6"/>
  <c r="T17" i="13" s="1"/>
  <c r="V172" i="6"/>
  <c r="V17" i="14" s="1"/>
  <c r="V157" i="6"/>
  <c r="V17" i="13" s="1"/>
  <c r="X172" i="6"/>
  <c r="X17" i="14" s="1"/>
  <c r="X157" i="6"/>
  <c r="X17" i="13" s="1"/>
  <c r="R173" i="6"/>
  <c r="R18" i="14" s="1"/>
  <c r="R158" i="6"/>
  <c r="R18" i="13" s="1"/>
  <c r="T173" i="6"/>
  <c r="T18" i="14" s="1"/>
  <c r="T158" i="6"/>
  <c r="T18" i="13" s="1"/>
  <c r="V173" i="6"/>
  <c r="V18" i="14" s="1"/>
  <c r="V158" i="6"/>
  <c r="V18" i="13" s="1"/>
  <c r="X173" i="6"/>
  <c r="X18" i="14" s="1"/>
  <c r="X158" i="6"/>
  <c r="X18" i="13" s="1"/>
  <c r="R174" i="6"/>
  <c r="R19" i="14" s="1"/>
  <c r="R159" i="6"/>
  <c r="R19" i="13" s="1"/>
  <c r="T174" i="6"/>
  <c r="T19" i="14" s="1"/>
  <c r="T159" i="6"/>
  <c r="T19" i="13" s="1"/>
  <c r="V174" i="6"/>
  <c r="V19" i="14" s="1"/>
  <c r="V159" i="6"/>
  <c r="V19" i="13" s="1"/>
  <c r="X174" i="6"/>
  <c r="X19" i="14" s="1"/>
  <c r="X159" i="6"/>
  <c r="X19" i="13" s="1"/>
  <c r="R145" i="6"/>
  <c r="R21" i="12" s="1"/>
  <c r="R175" i="6"/>
  <c r="R20" i="14" s="1"/>
  <c r="R160" i="6"/>
  <c r="R20" i="13" s="1"/>
  <c r="T145" i="6"/>
  <c r="T21" i="12" s="1"/>
  <c r="T175" i="6"/>
  <c r="T20" i="14" s="1"/>
  <c r="T160" i="6"/>
  <c r="T20" i="13" s="1"/>
  <c r="V145" i="6"/>
  <c r="V21" i="12" s="1"/>
  <c r="V175" i="6"/>
  <c r="V20" i="14" s="1"/>
  <c r="V160" i="6"/>
  <c r="V20" i="13" s="1"/>
  <c r="X145" i="6"/>
  <c r="X21" i="12" s="1"/>
  <c r="X175" i="6"/>
  <c r="X20" i="14" s="1"/>
  <c r="X160" i="6"/>
  <c r="X20" i="13" s="1"/>
  <c r="R176" i="6"/>
  <c r="R21" i="14" s="1"/>
  <c r="R161" i="6"/>
  <c r="R21" i="13" s="1"/>
  <c r="T176" i="6"/>
  <c r="T21" i="14" s="1"/>
  <c r="T161" i="6"/>
  <c r="T21" i="13" s="1"/>
  <c r="V176" i="6"/>
  <c r="V21" i="14" s="1"/>
  <c r="V161" i="6"/>
  <c r="V21" i="13" s="1"/>
  <c r="X176" i="6"/>
  <c r="X21" i="14" s="1"/>
  <c r="X161" i="6"/>
  <c r="X21" i="13" s="1"/>
  <c r="R147" i="6"/>
  <c r="R23" i="12" s="1"/>
  <c r="R177" i="6"/>
  <c r="R22" i="14" s="1"/>
  <c r="R162" i="6"/>
  <c r="R22" i="13" s="1"/>
  <c r="T147" i="6"/>
  <c r="T23" i="12" s="1"/>
  <c r="T177" i="6"/>
  <c r="T22" i="14" s="1"/>
  <c r="T162" i="6"/>
  <c r="T22" i="13" s="1"/>
  <c r="V147" i="6"/>
  <c r="V23" i="12" s="1"/>
  <c r="V177" i="6"/>
  <c r="V22" i="14" s="1"/>
  <c r="V162" i="6"/>
  <c r="V22" i="13" s="1"/>
  <c r="X147" i="6"/>
  <c r="X23" i="12" s="1"/>
  <c r="X177" i="6"/>
  <c r="X22" i="14" s="1"/>
  <c r="X162" i="6"/>
  <c r="X22" i="13" s="1"/>
  <c r="R178" i="6"/>
  <c r="R23" i="14" s="1"/>
  <c r="R163" i="6"/>
  <c r="R23" i="13" s="1"/>
  <c r="R148" i="6"/>
  <c r="R24" i="12" s="1"/>
  <c r="T178" i="6"/>
  <c r="T23" i="14" s="1"/>
  <c r="T163" i="6"/>
  <c r="T23" i="13" s="1"/>
  <c r="T148" i="6"/>
  <c r="T24" i="12" s="1"/>
  <c r="V178" i="6"/>
  <c r="V23" i="14" s="1"/>
  <c r="V163" i="6"/>
  <c r="V23" i="13" s="1"/>
  <c r="V148" i="6"/>
  <c r="V24" i="12" s="1"/>
  <c r="X178" i="6"/>
  <c r="X23" i="14" s="1"/>
  <c r="X163" i="6"/>
  <c r="X23" i="13" s="1"/>
  <c r="X148" i="6"/>
  <c r="X24" i="12" s="1"/>
  <c r="R149" i="6"/>
  <c r="R25" i="12" s="1"/>
  <c r="R179" i="6"/>
  <c r="R24" i="14" s="1"/>
  <c r="R164" i="6"/>
  <c r="R24" i="13" s="1"/>
  <c r="T149" i="6"/>
  <c r="T25" i="12" s="1"/>
  <c r="T179" i="6"/>
  <c r="T24" i="14" s="1"/>
  <c r="T164" i="6"/>
  <c r="T24" i="13" s="1"/>
  <c r="V149" i="6"/>
  <c r="V25" i="12" s="1"/>
  <c r="V179" i="6"/>
  <c r="V24" i="14" s="1"/>
  <c r="V164" i="6"/>
  <c r="V24" i="13" s="1"/>
  <c r="X149" i="6"/>
  <c r="X25" i="12" s="1"/>
  <c r="X179" i="6"/>
  <c r="X24" i="14" s="1"/>
  <c r="X164" i="6"/>
  <c r="X24" i="13" s="1"/>
  <c r="Q23" i="6"/>
  <c r="S23" i="6"/>
  <c r="U23" i="6"/>
  <c r="W23" i="6"/>
  <c r="R112" i="6"/>
  <c r="T112" i="6"/>
  <c r="V112" i="6"/>
  <c r="X112" i="6"/>
  <c r="R114" i="6"/>
  <c r="R18" i="11" s="1"/>
  <c r="T114" i="6"/>
  <c r="T18" i="11" s="1"/>
  <c r="V114" i="6"/>
  <c r="V18" i="11" s="1"/>
  <c r="X114" i="6"/>
  <c r="X18" i="11" s="1"/>
  <c r="R116" i="6"/>
  <c r="R20" i="11" s="1"/>
  <c r="T116" i="6"/>
  <c r="T20" i="11" s="1"/>
  <c r="V116" i="6"/>
  <c r="V20" i="11" s="1"/>
  <c r="X116" i="6"/>
  <c r="X20" i="11" s="1"/>
  <c r="R118" i="6"/>
  <c r="R22" i="11" s="1"/>
  <c r="T118" i="6"/>
  <c r="T22" i="11" s="1"/>
  <c r="V118" i="6"/>
  <c r="V22" i="11" s="1"/>
  <c r="X118" i="6"/>
  <c r="X22" i="11" s="1"/>
  <c r="R120" i="6"/>
  <c r="R24" i="11" s="1"/>
  <c r="T120" i="6"/>
  <c r="T24" i="11" s="1"/>
  <c r="V120" i="6"/>
  <c r="V24" i="11" s="1"/>
  <c r="X120" i="6"/>
  <c r="X24" i="11" s="1"/>
  <c r="R142" i="6"/>
  <c r="R18" i="12" s="1"/>
  <c r="T142" i="6"/>
  <c r="T18" i="12" s="1"/>
  <c r="V142" i="6"/>
  <c r="V18" i="12" s="1"/>
  <c r="X142" i="6"/>
  <c r="X18" i="12" s="1"/>
  <c r="R144" i="6"/>
  <c r="R20" i="12" s="1"/>
  <c r="T144" i="6"/>
  <c r="T20" i="12" s="1"/>
  <c r="V144" i="6"/>
  <c r="V20" i="12" s="1"/>
  <c r="X144" i="6"/>
  <c r="X20" i="12" s="1"/>
  <c r="T146" i="6"/>
  <c r="T22" i="12" s="1"/>
  <c r="X146" i="6"/>
  <c r="X22" i="12" s="1"/>
  <c r="Q171" i="6"/>
  <c r="Q156" i="6"/>
  <c r="S171" i="6"/>
  <c r="S156" i="6"/>
  <c r="U171" i="6"/>
  <c r="U156" i="6"/>
  <c r="W171" i="6"/>
  <c r="W156" i="6"/>
  <c r="Q172" i="6"/>
  <c r="Q17" i="14" s="1"/>
  <c r="Q157" i="6"/>
  <c r="Q17" i="13" s="1"/>
  <c r="S172" i="6"/>
  <c r="S17" i="14" s="1"/>
  <c r="S157" i="6"/>
  <c r="S17" i="13" s="1"/>
  <c r="U172" i="6"/>
  <c r="U17" i="14" s="1"/>
  <c r="U157" i="6"/>
  <c r="U17" i="13" s="1"/>
  <c r="W172" i="6"/>
  <c r="W17" i="14" s="1"/>
  <c r="W157" i="6"/>
  <c r="W17" i="13" s="1"/>
  <c r="Q173" i="6"/>
  <c r="Q18" i="14" s="1"/>
  <c r="Q158" i="6"/>
  <c r="Q18" i="13" s="1"/>
  <c r="S173" i="6"/>
  <c r="S18" i="14" s="1"/>
  <c r="S158" i="6"/>
  <c r="S18" i="13" s="1"/>
  <c r="U173" i="6"/>
  <c r="U18" i="14" s="1"/>
  <c r="U158" i="6"/>
  <c r="U18" i="13" s="1"/>
  <c r="W173" i="6"/>
  <c r="W18" i="14" s="1"/>
  <c r="W158" i="6"/>
  <c r="W18" i="13" s="1"/>
  <c r="Q174" i="6"/>
  <c r="Q19" i="14" s="1"/>
  <c r="Q159" i="6"/>
  <c r="Q19" i="13" s="1"/>
  <c r="S174" i="6"/>
  <c r="S19" i="14" s="1"/>
  <c r="S159" i="6"/>
  <c r="S19" i="13" s="1"/>
  <c r="U174" i="6"/>
  <c r="U19" i="14" s="1"/>
  <c r="U159" i="6"/>
  <c r="U19" i="13" s="1"/>
  <c r="W174" i="6"/>
  <c r="W19" i="14" s="1"/>
  <c r="W159" i="6"/>
  <c r="W19" i="13" s="1"/>
  <c r="Q175" i="6"/>
  <c r="Q20" i="14" s="1"/>
  <c r="Q160" i="6"/>
  <c r="Q20" i="13" s="1"/>
  <c r="S175" i="6"/>
  <c r="S20" i="14" s="1"/>
  <c r="S160" i="6"/>
  <c r="S20" i="13" s="1"/>
  <c r="U175" i="6"/>
  <c r="U20" i="14" s="1"/>
  <c r="U160" i="6"/>
  <c r="U20" i="13" s="1"/>
  <c r="W175" i="6"/>
  <c r="W20" i="14" s="1"/>
  <c r="W160" i="6"/>
  <c r="W20" i="13" s="1"/>
  <c r="Q146" i="6"/>
  <c r="Q22" i="12" s="1"/>
  <c r="Q176" i="6"/>
  <c r="Q21" i="14" s="1"/>
  <c r="Q161" i="6"/>
  <c r="Q21" i="13" s="1"/>
  <c r="S146" i="6"/>
  <c r="S22" i="12" s="1"/>
  <c r="S176" i="6"/>
  <c r="S21" i="14" s="1"/>
  <c r="S161" i="6"/>
  <c r="S21" i="13" s="1"/>
  <c r="U146" i="6"/>
  <c r="U22" i="12" s="1"/>
  <c r="U176" i="6"/>
  <c r="U21" i="14" s="1"/>
  <c r="U161" i="6"/>
  <c r="U21" i="13" s="1"/>
  <c r="W146" i="6"/>
  <c r="W22" i="12" s="1"/>
  <c r="W176" i="6"/>
  <c r="W21" i="14" s="1"/>
  <c r="W161" i="6"/>
  <c r="W21" i="13" s="1"/>
  <c r="Q177" i="6"/>
  <c r="Q22" i="14" s="1"/>
  <c r="Q162" i="6"/>
  <c r="Q22" i="13" s="1"/>
  <c r="Q147" i="6"/>
  <c r="Q23" i="12" s="1"/>
  <c r="S177" i="6"/>
  <c r="S22" i="14" s="1"/>
  <c r="S162" i="6"/>
  <c r="S22" i="13" s="1"/>
  <c r="S147" i="6"/>
  <c r="S23" i="12" s="1"/>
  <c r="U177" i="6"/>
  <c r="U22" i="14" s="1"/>
  <c r="U162" i="6"/>
  <c r="U22" i="13" s="1"/>
  <c r="U147" i="6"/>
  <c r="U23" i="12" s="1"/>
  <c r="W177" i="6"/>
  <c r="W22" i="14" s="1"/>
  <c r="W162" i="6"/>
  <c r="W22" i="13" s="1"/>
  <c r="W147" i="6"/>
  <c r="W23" i="12" s="1"/>
  <c r="Q148" i="6"/>
  <c r="Q24" i="12" s="1"/>
  <c r="Q178" i="6"/>
  <c r="Q23" i="14" s="1"/>
  <c r="Q163" i="6"/>
  <c r="Q23" i="13" s="1"/>
  <c r="S148" i="6"/>
  <c r="S24" i="12" s="1"/>
  <c r="S178" i="6"/>
  <c r="S23" i="14" s="1"/>
  <c r="S163" i="6"/>
  <c r="S23" i="13" s="1"/>
  <c r="U148" i="6"/>
  <c r="U24" i="12" s="1"/>
  <c r="U178" i="6"/>
  <c r="U23" i="14" s="1"/>
  <c r="U163" i="6"/>
  <c r="U23" i="13" s="1"/>
  <c r="W148" i="6"/>
  <c r="W24" i="12" s="1"/>
  <c r="W178" i="6"/>
  <c r="W23" i="14" s="1"/>
  <c r="W163" i="6"/>
  <c r="W23" i="13" s="1"/>
  <c r="Q179" i="6"/>
  <c r="Q24" i="14" s="1"/>
  <c r="Q164" i="6"/>
  <c r="Q24" i="13" s="1"/>
  <c r="Q149" i="6"/>
  <c r="Q25" i="12" s="1"/>
  <c r="S179" i="6"/>
  <c r="S24" i="14" s="1"/>
  <c r="S164" i="6"/>
  <c r="S24" i="13" s="1"/>
  <c r="S149" i="6"/>
  <c r="S25" i="12" s="1"/>
  <c r="U179" i="6"/>
  <c r="U24" i="14" s="1"/>
  <c r="U164" i="6"/>
  <c r="U24" i="13" s="1"/>
  <c r="U149" i="6"/>
  <c r="U25" i="12" s="1"/>
  <c r="W179" i="6"/>
  <c r="W24" i="14" s="1"/>
  <c r="W164" i="6"/>
  <c r="W24" i="13" s="1"/>
  <c r="W149" i="6"/>
  <c r="W25" i="12" s="1"/>
  <c r="R23" i="6"/>
  <c r="T23" i="6"/>
  <c r="V23" i="6"/>
  <c r="X23" i="6"/>
  <c r="Q112" i="6"/>
  <c r="S112" i="6"/>
  <c r="U112" i="6"/>
  <c r="W112" i="6"/>
  <c r="R113" i="6"/>
  <c r="R17" i="11" s="1"/>
  <c r="T113" i="6"/>
  <c r="T17" i="11" s="1"/>
  <c r="V113" i="6"/>
  <c r="V17" i="11" s="1"/>
  <c r="X113" i="6"/>
  <c r="X17" i="11" s="1"/>
  <c r="Q114" i="6"/>
  <c r="Q18" i="11" s="1"/>
  <c r="S114" i="6"/>
  <c r="S18" i="11" s="1"/>
  <c r="U114" i="6"/>
  <c r="U18" i="11" s="1"/>
  <c r="W114" i="6"/>
  <c r="W18" i="11" s="1"/>
  <c r="R115" i="6"/>
  <c r="R19" i="11" s="1"/>
  <c r="T115" i="6"/>
  <c r="T19" i="11" s="1"/>
  <c r="V115" i="6"/>
  <c r="V19" i="11" s="1"/>
  <c r="X115" i="6"/>
  <c r="X19" i="11" s="1"/>
  <c r="Q116" i="6"/>
  <c r="Q20" i="11" s="1"/>
  <c r="S116" i="6"/>
  <c r="S20" i="11" s="1"/>
  <c r="U116" i="6"/>
  <c r="U20" i="11" s="1"/>
  <c r="W116" i="6"/>
  <c r="W20" i="11" s="1"/>
  <c r="R117" i="6"/>
  <c r="R21" i="11" s="1"/>
  <c r="T117" i="6"/>
  <c r="T21" i="11" s="1"/>
  <c r="V117" i="6"/>
  <c r="V21" i="11" s="1"/>
  <c r="X117" i="6"/>
  <c r="X21" i="11" s="1"/>
  <c r="Q118" i="6"/>
  <c r="Q22" i="11" s="1"/>
  <c r="S118" i="6"/>
  <c r="S22" i="11" s="1"/>
  <c r="U118" i="6"/>
  <c r="U22" i="11" s="1"/>
  <c r="W118" i="6"/>
  <c r="W22" i="11" s="1"/>
  <c r="R119" i="6"/>
  <c r="R23" i="11" s="1"/>
  <c r="T119" i="6"/>
  <c r="T23" i="11" s="1"/>
  <c r="V119" i="6"/>
  <c r="V23" i="11" s="1"/>
  <c r="X119" i="6"/>
  <c r="X23" i="11" s="1"/>
  <c r="Q120" i="6"/>
  <c r="Q24" i="11" s="1"/>
  <c r="S120" i="6"/>
  <c r="S24" i="11" s="1"/>
  <c r="U120" i="6"/>
  <c r="U24" i="11" s="1"/>
  <c r="W120" i="6"/>
  <c r="W24" i="11" s="1"/>
  <c r="P17" i="12"/>
  <c r="P27" i="12" s="1"/>
  <c r="R141" i="6"/>
  <c r="T141" i="6"/>
  <c r="V141" i="6"/>
  <c r="X141" i="6"/>
  <c r="Q142" i="6"/>
  <c r="Q18" i="12" s="1"/>
  <c r="S142" i="6"/>
  <c r="S18" i="12" s="1"/>
  <c r="U142" i="6"/>
  <c r="U18" i="12" s="1"/>
  <c r="W142" i="6"/>
  <c r="W18" i="12" s="1"/>
  <c r="R143" i="6"/>
  <c r="R19" i="12" s="1"/>
  <c r="T143" i="6"/>
  <c r="T19" i="12" s="1"/>
  <c r="V143" i="6"/>
  <c r="V19" i="12" s="1"/>
  <c r="X143" i="6"/>
  <c r="X19" i="12" s="1"/>
  <c r="Q144" i="6"/>
  <c r="Q20" i="12" s="1"/>
  <c r="S144" i="6"/>
  <c r="S20" i="12" s="1"/>
  <c r="U144" i="6"/>
  <c r="U20" i="12" s="1"/>
  <c r="W144" i="6"/>
  <c r="W20" i="12" s="1"/>
  <c r="S145" i="6"/>
  <c r="S21" i="12" s="1"/>
  <c r="W145" i="6"/>
  <c r="W21" i="12" s="1"/>
  <c r="R146" i="6"/>
  <c r="R22" i="12" s="1"/>
  <c r="V146" i="6"/>
  <c r="V22" i="12" s="1"/>
  <c r="G48" i="41" l="1"/>
  <c r="G31" i="41"/>
  <c r="E48" i="41"/>
  <c r="E31" i="41"/>
  <c r="G48" i="40"/>
  <c r="G31" i="40"/>
  <c r="E48" i="40"/>
  <c r="E31" i="40"/>
  <c r="S79" i="11"/>
  <c r="S88" i="11" s="1"/>
  <c r="G13" i="39" s="1"/>
  <c r="S22" i="9"/>
  <c r="Q79" i="11"/>
  <c r="Q88" i="11" s="1"/>
  <c r="E13" i="39" s="1"/>
  <c r="Q22" i="9"/>
  <c r="F48" i="41"/>
  <c r="F31" i="41"/>
  <c r="D48" i="41"/>
  <c r="D31" i="41"/>
  <c r="F48" i="40"/>
  <c r="F31" i="40"/>
  <c r="D48" i="40"/>
  <c r="D31" i="40"/>
  <c r="R79" i="11"/>
  <c r="R88" i="11" s="1"/>
  <c r="F13" i="39" s="1"/>
  <c r="R22" i="9"/>
  <c r="P79" i="11"/>
  <c r="P88" i="11" s="1"/>
  <c r="D13" i="39" s="1"/>
  <c r="P22" i="9"/>
  <c r="G48" i="42"/>
  <c r="G31" i="42"/>
  <c r="O26" i="13"/>
  <c r="O27" i="12"/>
  <c r="E48" i="42"/>
  <c r="E31" i="42"/>
  <c r="W27" i="12"/>
  <c r="U27" i="12"/>
  <c r="S27" i="12"/>
  <c r="Q27" i="12"/>
  <c r="F48" i="42"/>
  <c r="F31" i="42"/>
  <c r="O35" i="2"/>
  <c r="O223" i="8"/>
  <c r="K26" i="14"/>
  <c r="K75" i="14" s="1"/>
  <c r="K181" i="6"/>
  <c r="K151" i="6"/>
  <c r="K166" i="6"/>
  <c r="L178" i="6"/>
  <c r="L23" i="14" s="1"/>
  <c r="L174" i="6"/>
  <c r="L19" i="14" s="1"/>
  <c r="L164" i="6"/>
  <c r="L160" i="6"/>
  <c r="L156" i="6"/>
  <c r="L147" i="6"/>
  <c r="L143" i="6"/>
  <c r="M5" i="6"/>
  <c r="L176" i="6"/>
  <c r="L21" i="14" s="1"/>
  <c r="L172" i="6"/>
  <c r="L17" i="14" s="1"/>
  <c r="L158" i="6"/>
  <c r="L145" i="6"/>
  <c r="L163" i="6"/>
  <c r="L142" i="6"/>
  <c r="L179" i="6"/>
  <c r="L24" i="14" s="1"/>
  <c r="L175" i="6"/>
  <c r="L20" i="14" s="1"/>
  <c r="L171" i="6"/>
  <c r="L161" i="6"/>
  <c r="L157" i="6"/>
  <c r="L148" i="6"/>
  <c r="L144" i="6"/>
  <c r="L162" i="6"/>
  <c r="L149" i="6"/>
  <c r="L141" i="6"/>
  <c r="L177" i="6"/>
  <c r="L22" i="14" s="1"/>
  <c r="L173" i="6"/>
  <c r="L18" i="14" s="1"/>
  <c r="L159" i="6"/>
  <c r="L146" i="6"/>
  <c r="Q92" i="34"/>
  <c r="D31" i="38"/>
  <c r="Q87" i="34"/>
  <c r="D23" i="38"/>
  <c r="D15" i="38"/>
  <c r="R87" i="34"/>
  <c r="S106" i="34"/>
  <c r="S107" i="34" s="1"/>
  <c r="S192" i="34" s="1"/>
  <c r="S193" i="34" s="1"/>
  <c r="S196" i="34" s="1"/>
  <c r="P87" i="34"/>
  <c r="P164" i="34"/>
  <c r="P165" i="34" s="1"/>
  <c r="P236" i="34" s="1"/>
  <c r="P237" i="34" s="1"/>
  <c r="P240" i="34" s="1"/>
  <c r="X67" i="34"/>
  <c r="X201" i="34" s="1"/>
  <c r="U151" i="34"/>
  <c r="P221" i="8"/>
  <c r="Q221" i="8" s="1"/>
  <c r="O422" i="8"/>
  <c r="P92" i="34"/>
  <c r="P404" i="8"/>
  <c r="P785" i="8" s="1"/>
  <c r="R136" i="34"/>
  <c r="P151" i="6"/>
  <c r="O467" i="8"/>
  <c r="P26" i="14"/>
  <c r="P75" i="14" s="1"/>
  <c r="P84" i="14" s="1"/>
  <c r="R190" i="34"/>
  <c r="R191" i="34" s="1"/>
  <c r="R193" i="34" s="1"/>
  <c r="R196" i="34" s="1"/>
  <c r="W67" i="34"/>
  <c r="W201" i="34" s="1"/>
  <c r="R164" i="34"/>
  <c r="R165" i="34" s="1"/>
  <c r="R236" i="34" s="1"/>
  <c r="R237" i="34" s="1"/>
  <c r="R240" i="34" s="1"/>
  <c r="V190" i="34"/>
  <c r="X136" i="34"/>
  <c r="X151" i="34"/>
  <c r="T136" i="34"/>
  <c r="T138" i="34" s="1"/>
  <c r="S122" i="34"/>
  <c r="S123" i="34" s="1"/>
  <c r="S203" i="34" s="1"/>
  <c r="S87" i="34"/>
  <c r="Q164" i="34"/>
  <c r="Q165" i="34" s="1"/>
  <c r="V151" i="34"/>
  <c r="V164" i="34"/>
  <c r="S151" i="34"/>
  <c r="S152" i="34" s="1"/>
  <c r="U136" i="34"/>
  <c r="V106" i="34"/>
  <c r="O235" i="34"/>
  <c r="O241" i="8"/>
  <c r="O625" i="8" s="1"/>
  <c r="O37" i="12" s="1"/>
  <c r="V122" i="34"/>
  <c r="V123" i="34" s="1"/>
  <c r="O119" i="8"/>
  <c r="Q190" i="34"/>
  <c r="R224" i="34"/>
  <c r="R92" i="34"/>
  <c r="Q82" i="34"/>
  <c r="O151" i="34"/>
  <c r="O152" i="34" s="1"/>
  <c r="O225" i="34" s="1"/>
  <c r="O226" i="34" s="1"/>
  <c r="O229" i="34" s="1"/>
  <c r="P136" i="34"/>
  <c r="N26" i="11"/>
  <c r="P239" i="8"/>
  <c r="X190" i="34"/>
  <c r="R63" i="34"/>
  <c r="S63" i="34"/>
  <c r="Q106" i="34"/>
  <c r="Q107" i="34" s="1"/>
  <c r="Q192" i="34" s="1"/>
  <c r="W151" i="34"/>
  <c r="U92" i="34"/>
  <c r="W82" i="34"/>
  <c r="O318" i="8"/>
  <c r="O701" i="8" s="1"/>
  <c r="O75" i="12"/>
  <c r="O84" i="12" s="1"/>
  <c r="R67" i="34"/>
  <c r="R201" i="34" s="1"/>
  <c r="O259" i="8"/>
  <c r="O260" i="8" s="1"/>
  <c r="P258" i="8" s="1"/>
  <c r="V136" i="34"/>
  <c r="S35" i="2"/>
  <c r="P63" i="34"/>
  <c r="Q122" i="34"/>
  <c r="Q123" i="34" s="1"/>
  <c r="Q203" i="34" s="1"/>
  <c r="O136" i="34"/>
  <c r="U122" i="34"/>
  <c r="U123" i="34" s="1"/>
  <c r="U203" i="34" s="1"/>
  <c r="S82" i="34"/>
  <c r="X63" i="34"/>
  <c r="T106" i="34"/>
  <c r="P190" i="34"/>
  <c r="P191" i="34" s="1"/>
  <c r="P193" i="34" s="1"/>
  <c r="P196" i="34" s="1"/>
  <c r="O164" i="34"/>
  <c r="O165" i="34" s="1"/>
  <c r="O236" i="34" s="1"/>
  <c r="O68" i="12"/>
  <c r="O217" i="34"/>
  <c r="O169" i="34"/>
  <c r="O65" i="13"/>
  <c r="O156" i="34"/>
  <c r="O142" i="34"/>
  <c r="O224" i="8"/>
  <c r="O225" i="8" s="1"/>
  <c r="P220" i="8" s="1"/>
  <c r="P223" i="8" s="1"/>
  <c r="P607" i="8" s="1"/>
  <c r="O607" i="8"/>
  <c r="O35" i="12" s="1"/>
  <c r="O855" i="8"/>
  <c r="N61" i="14"/>
  <c r="U106" i="34"/>
  <c r="O63" i="34"/>
  <c r="O440" i="8"/>
  <c r="T164" i="34"/>
  <c r="T165" i="34" s="1"/>
  <c r="N151" i="6"/>
  <c r="O327" i="8"/>
  <c r="O328" i="8" s="1"/>
  <c r="O295" i="8"/>
  <c r="O679" i="8" s="1"/>
  <c r="O43" i="12" s="1"/>
  <c r="T67" i="34"/>
  <c r="T201" i="34" s="1"/>
  <c r="T190" i="34"/>
  <c r="T191" i="34" s="1"/>
  <c r="S32" i="2"/>
  <c r="W190" i="34"/>
  <c r="O106" i="34"/>
  <c r="O107" i="34" s="1"/>
  <c r="O192" i="34" s="1"/>
  <c r="O193" i="34" s="1"/>
  <c r="O196" i="34" s="1"/>
  <c r="V32" i="2"/>
  <c r="X92" i="34"/>
  <c r="Q151" i="34"/>
  <c r="Q152" i="34" s="1"/>
  <c r="W92" i="34"/>
  <c r="S92" i="34"/>
  <c r="T151" i="34"/>
  <c r="T152" i="34" s="1"/>
  <c r="P151" i="34"/>
  <c r="P152" i="34" s="1"/>
  <c r="N32" i="2"/>
  <c r="O473" i="8"/>
  <c r="O476" i="8" s="1"/>
  <c r="P75" i="12"/>
  <c r="P84" i="12" s="1"/>
  <c r="R225" i="34"/>
  <c r="O413" i="8"/>
  <c r="O414" i="8" s="1"/>
  <c r="W63" i="34"/>
  <c r="O354" i="8"/>
  <c r="N166" i="6"/>
  <c r="S235" i="34"/>
  <c r="O250" i="8"/>
  <c r="O251" i="8" s="1"/>
  <c r="P119" i="8"/>
  <c r="P504" i="8" s="1"/>
  <c r="O13" i="9"/>
  <c r="S12" i="11"/>
  <c r="R80" i="11"/>
  <c r="R89" i="11" s="1"/>
  <c r="U14" i="34"/>
  <c r="U54" i="34" s="1"/>
  <c r="Q14" i="34"/>
  <c r="Q54" i="34" s="1"/>
  <c r="V14" i="34"/>
  <c r="V54" i="34" s="1"/>
  <c r="R14" i="34"/>
  <c r="R54" i="34" s="1"/>
  <c r="N14" i="34"/>
  <c r="W14" i="34"/>
  <c r="W54" i="34" s="1"/>
  <c r="S14" i="34"/>
  <c r="S54" i="34" s="1"/>
  <c r="O14" i="34"/>
  <c r="O54" i="34" s="1"/>
  <c r="X14" i="34"/>
  <c r="X54" i="34" s="1"/>
  <c r="T14" i="34"/>
  <c r="T54" i="34" s="1"/>
  <c r="P14" i="34"/>
  <c r="P54" i="34" s="1"/>
  <c r="Q236" i="34"/>
  <c r="T203" i="34"/>
  <c r="R203" i="34"/>
  <c r="P203" i="34"/>
  <c r="P204" i="34" s="1"/>
  <c r="P207" i="34" s="1"/>
  <c r="O203" i="34"/>
  <c r="O204" i="34" s="1"/>
  <c r="O207" i="34" s="1"/>
  <c r="O309" i="8"/>
  <c r="O692" i="8" s="1"/>
  <c r="O33" i="13" s="1"/>
  <c r="O449" i="8"/>
  <c r="O830" i="8" s="1"/>
  <c r="R35" i="2"/>
  <c r="O336" i="8"/>
  <c r="O450" i="8"/>
  <c r="P448" i="8" s="1"/>
  <c r="O848" i="8"/>
  <c r="O40" i="14" s="1"/>
  <c r="O468" i="8"/>
  <c r="N181" i="6"/>
  <c r="O122" i="6"/>
  <c r="N122" i="6"/>
  <c r="O404" i="8"/>
  <c r="O405" i="8" s="1"/>
  <c r="O363" i="8"/>
  <c r="O364" i="8" s="1"/>
  <c r="O372" i="8"/>
  <c r="O755" i="8" s="1"/>
  <c r="O345" i="8"/>
  <c r="O728" i="8" s="1"/>
  <c r="O37" i="13" s="1"/>
  <c r="O128" i="8"/>
  <c r="O513" i="8" s="1"/>
  <c r="O34" i="11" s="1"/>
  <c r="Q404" i="8"/>
  <c r="Q785" i="8" s="1"/>
  <c r="O277" i="8"/>
  <c r="O661" i="8" s="1"/>
  <c r="O41" i="12" s="1"/>
  <c r="O214" i="8"/>
  <c r="O215" i="8" s="1"/>
  <c r="U32" i="2"/>
  <c r="Q32" i="2"/>
  <c r="R32" i="2"/>
  <c r="P26" i="11"/>
  <c r="P75" i="11" s="1"/>
  <c r="O858" i="8"/>
  <c r="Q35" i="2"/>
  <c r="V35" i="2"/>
  <c r="O431" i="8"/>
  <c r="O812" i="8" s="1"/>
  <c r="O36" i="14" s="1"/>
  <c r="T35" i="2"/>
  <c r="O432" i="8"/>
  <c r="P181" i="6"/>
  <c r="P166" i="6"/>
  <c r="O181" i="6"/>
  <c r="O166" i="6"/>
  <c r="N17" i="12"/>
  <c r="N27" i="12" s="1"/>
  <c r="N75" i="12" s="1"/>
  <c r="O151" i="6"/>
  <c r="P122" i="6"/>
  <c r="O390" i="8"/>
  <c r="O391" i="8" s="1"/>
  <c r="P429" i="8"/>
  <c r="O146" i="8"/>
  <c r="O531" i="8" s="1"/>
  <c r="O36" i="11" s="1"/>
  <c r="O200" i="8"/>
  <c r="O585" i="8" s="1"/>
  <c r="O42" i="11" s="1"/>
  <c r="O137" i="8"/>
  <c r="O138" i="8" s="1"/>
  <c r="P214" i="8"/>
  <c r="P598" i="8" s="1"/>
  <c r="X32" i="2"/>
  <c r="T32" i="2"/>
  <c r="P32" i="2"/>
  <c r="W35" i="2"/>
  <c r="U35" i="2"/>
  <c r="N17" i="34"/>
  <c r="P35" i="2"/>
  <c r="O261" i="8"/>
  <c r="P256" i="8" s="1"/>
  <c r="Y228" i="34"/>
  <c r="Y206" i="34"/>
  <c r="Y195" i="34"/>
  <c r="Y169" i="34"/>
  <c r="Y142" i="34"/>
  <c r="Y127" i="34"/>
  <c r="Y239" i="34"/>
  <c r="Y217" i="34"/>
  <c r="Y156" i="34"/>
  <c r="Y111" i="34"/>
  <c r="Y52" i="2"/>
  <c r="Y51" i="2"/>
  <c r="Y48" i="2"/>
  <c r="Y47" i="2"/>
  <c r="Y44" i="2"/>
  <c r="Y42" i="2"/>
  <c r="Y38" i="2"/>
  <c r="Y37" i="2"/>
  <c r="Y26" i="2"/>
  <c r="Y31" i="2"/>
  <c r="Y23" i="2"/>
  <c r="Y20" i="2"/>
  <c r="P72" i="13"/>
  <c r="P81" i="13" s="1"/>
  <c r="N26" i="14"/>
  <c r="N75" i="14" s="1"/>
  <c r="N673" i="8"/>
  <c r="O283" i="8"/>
  <c r="O286" i="8" s="1"/>
  <c r="O26" i="14"/>
  <c r="O75" i="14" s="1"/>
  <c r="O84" i="14" s="1"/>
  <c r="N26" i="13"/>
  <c r="N72" i="13" s="1"/>
  <c r="N767" i="8"/>
  <c r="O378" i="8"/>
  <c r="O381" i="8" s="1"/>
  <c r="O866" i="8"/>
  <c r="O42" i="14" s="1"/>
  <c r="O486" i="8"/>
  <c r="P137" i="34"/>
  <c r="P213" i="34"/>
  <c r="S137" i="34"/>
  <c r="S138" i="34" s="1"/>
  <c r="S213" i="34"/>
  <c r="Q137" i="34"/>
  <c r="Q138" i="34" s="1"/>
  <c r="Q213" i="34"/>
  <c r="R137" i="34"/>
  <c r="R138" i="34" s="1"/>
  <c r="R213" i="34"/>
  <c r="O137" i="34"/>
  <c r="O213" i="34"/>
  <c r="Q474" i="8"/>
  <c r="O458" i="8"/>
  <c r="P456" i="8"/>
  <c r="Q456" i="8" s="1"/>
  <c r="R456" i="8" s="1"/>
  <c r="Q379" i="8"/>
  <c r="Q284" i="8"/>
  <c r="O182" i="8"/>
  <c r="P180" i="8"/>
  <c r="Q180" i="8" s="1"/>
  <c r="R180" i="8" s="1"/>
  <c r="X55" i="2"/>
  <c r="X45" i="2"/>
  <c r="T55" i="2"/>
  <c r="T45" i="2"/>
  <c r="P55" i="2"/>
  <c r="P45" i="2"/>
  <c r="W55" i="2"/>
  <c r="W45" i="2"/>
  <c r="S55" i="2"/>
  <c r="S45" i="2"/>
  <c r="O55" i="2"/>
  <c r="O45" i="2"/>
  <c r="P189" i="8"/>
  <c r="O191" i="8"/>
  <c r="O26" i="11"/>
  <c r="O75" i="11" s="1"/>
  <c r="V55" i="2"/>
  <c r="V45" i="2"/>
  <c r="R55" i="2"/>
  <c r="R45" i="2"/>
  <c r="N55" i="2"/>
  <c r="N45" i="2"/>
  <c r="O72" i="13"/>
  <c r="O81" i="13" s="1"/>
  <c r="U45" i="2"/>
  <c r="U55" i="2"/>
  <c r="Q45" i="2"/>
  <c r="Q55" i="2"/>
  <c r="P859" i="8"/>
  <c r="Y316" i="8"/>
  <c r="Z316" i="8" s="1"/>
  <c r="AA316" i="8" s="1"/>
  <c r="AB316" i="8" s="1"/>
  <c r="AC316" i="8" s="1"/>
  <c r="AD316" i="8" s="1"/>
  <c r="AE316" i="8" s="1"/>
  <c r="AF316" i="8" s="1"/>
  <c r="AG316" i="8" s="1"/>
  <c r="AH316" i="8" s="1"/>
  <c r="AI316" i="8" s="1"/>
  <c r="AJ316" i="8" s="1"/>
  <c r="AK316" i="8" s="1"/>
  <c r="AL316" i="8" s="1"/>
  <c r="AM316" i="8" s="1"/>
  <c r="O574" i="8"/>
  <c r="N61" i="11"/>
  <c r="N64" i="11" s="1"/>
  <c r="P832" i="8"/>
  <c r="O785" i="8"/>
  <c r="O33" i="14" s="1"/>
  <c r="Q334" i="8"/>
  <c r="O30" i="14"/>
  <c r="O78" i="14" s="1"/>
  <c r="O87" i="14" s="1"/>
  <c r="C12" i="42" s="1"/>
  <c r="O373" i="8"/>
  <c r="Q361" i="8"/>
  <c r="Q352" i="8"/>
  <c r="R343" i="8"/>
  <c r="R370" i="8"/>
  <c r="O232" i="8"/>
  <c r="P230" i="8"/>
  <c r="R221" i="8"/>
  <c r="O549" i="8"/>
  <c r="O38" i="11" s="1"/>
  <c r="O165" i="8"/>
  <c r="O129" i="8"/>
  <c r="S402" i="8"/>
  <c r="R404" i="8"/>
  <c r="R785" i="8" s="1"/>
  <c r="S325" i="8"/>
  <c r="N62" i="13"/>
  <c r="Q293" i="8"/>
  <c r="Q266" i="8"/>
  <c r="Q257" i="8"/>
  <c r="P259" i="8"/>
  <c r="P643" i="8" s="1"/>
  <c r="O634" i="8"/>
  <c r="O38" i="12" s="1"/>
  <c r="O201" i="8"/>
  <c r="P569" i="8"/>
  <c r="O540" i="8"/>
  <c r="O37" i="11" s="1"/>
  <c r="O156" i="8"/>
  <c r="O522" i="8"/>
  <c r="O35" i="11" s="1"/>
  <c r="R248" i="8"/>
  <c r="R153" i="8"/>
  <c r="W56" i="34"/>
  <c r="O56" i="34"/>
  <c r="O59" i="34" s="1"/>
  <c r="R198" i="8"/>
  <c r="R171" i="8"/>
  <c r="S126" i="8"/>
  <c r="R117" i="8"/>
  <c r="Q119" i="8"/>
  <c r="Q504" i="8" s="1"/>
  <c r="P814" i="8"/>
  <c r="Q411" i="8"/>
  <c r="O773" i="8"/>
  <c r="O42" i="13" s="1"/>
  <c r="O746" i="8"/>
  <c r="O39" i="13" s="1"/>
  <c r="P739" i="8"/>
  <c r="O710" i="8"/>
  <c r="O35" i="13" s="1"/>
  <c r="N47" i="11"/>
  <c r="Q483" i="8"/>
  <c r="Q465" i="8"/>
  <c r="Q447" i="8"/>
  <c r="Q438" i="8"/>
  <c r="Q429" i="8"/>
  <c r="O803" i="8"/>
  <c r="O35" i="14" s="1"/>
  <c r="O423" i="8"/>
  <c r="N64" i="14"/>
  <c r="O346" i="8"/>
  <c r="P721" i="8"/>
  <c r="O719" i="8"/>
  <c r="O36" i="13" s="1"/>
  <c r="O337" i="8"/>
  <c r="R420" i="8"/>
  <c r="O310" i="8"/>
  <c r="O652" i="8"/>
  <c r="O40" i="12" s="1"/>
  <c r="O269" i="8"/>
  <c r="P645" i="8"/>
  <c r="Q239" i="8"/>
  <c r="S388" i="8"/>
  <c r="Q307" i="8"/>
  <c r="P309" i="8"/>
  <c r="P692" i="8" s="1"/>
  <c r="P627" i="8"/>
  <c r="O558" i="8"/>
  <c r="O39" i="11" s="1"/>
  <c r="O174" i="8"/>
  <c r="R212" i="8"/>
  <c r="Q214" i="8"/>
  <c r="Q598" i="8" s="1"/>
  <c r="S144" i="8"/>
  <c r="O30" i="11"/>
  <c r="O78" i="11" s="1"/>
  <c r="O87" i="11" s="1"/>
  <c r="C12" i="39" s="1"/>
  <c r="S162" i="8"/>
  <c r="R135" i="8"/>
  <c r="O504" i="8"/>
  <c r="O33" i="11" s="1"/>
  <c r="O120" i="8"/>
  <c r="S236" i="34"/>
  <c r="U149" i="34"/>
  <c r="T107" i="34"/>
  <c r="U104" i="34"/>
  <c r="T224" i="34"/>
  <c r="U162" i="34"/>
  <c r="T235" i="34"/>
  <c r="U233" i="34"/>
  <c r="S225" i="34"/>
  <c r="S226" i="34" s="1"/>
  <c r="S229" i="34" s="1"/>
  <c r="W120" i="34"/>
  <c r="U134" i="34"/>
  <c r="U191" i="34"/>
  <c r="V188" i="34"/>
  <c r="T213" i="34"/>
  <c r="U211" i="34"/>
  <c r="U20" i="34"/>
  <c r="Y23" i="6"/>
  <c r="Y171" i="6"/>
  <c r="Y156" i="6"/>
  <c r="Y141" i="6"/>
  <c r="Y112" i="6"/>
  <c r="Y173" i="6"/>
  <c r="Y18" i="14" s="1"/>
  <c r="Y158" i="6"/>
  <c r="Y18" i="13" s="1"/>
  <c r="Y143" i="6"/>
  <c r="Y19" i="12" s="1"/>
  <c r="Y114" i="6"/>
  <c r="Y18" i="11" s="1"/>
  <c r="Y175" i="6"/>
  <c r="Y20" i="14" s="1"/>
  <c r="Y160" i="6"/>
  <c r="Y20" i="13" s="1"/>
  <c r="Y145" i="6"/>
  <c r="Y21" i="12" s="1"/>
  <c r="Y116" i="6"/>
  <c r="Y20" i="11" s="1"/>
  <c r="Y177" i="6"/>
  <c r="Y22" i="14" s="1"/>
  <c r="Y162" i="6"/>
  <c r="Y22" i="13" s="1"/>
  <c r="Y147" i="6"/>
  <c r="Y23" i="12" s="1"/>
  <c r="Y118" i="6"/>
  <c r="Y22" i="11" s="1"/>
  <c r="Y179" i="6"/>
  <c r="Y24" i="14" s="1"/>
  <c r="Y164" i="6"/>
  <c r="Y24" i="13" s="1"/>
  <c r="Y149" i="6"/>
  <c r="Y25" i="12" s="1"/>
  <c r="Y120" i="6"/>
  <c r="Y24" i="11" s="1"/>
  <c r="Y172" i="6"/>
  <c r="Y17" i="14" s="1"/>
  <c r="Y157" i="6"/>
  <c r="Y17" i="13" s="1"/>
  <c r="Y142" i="6"/>
  <c r="Y18" i="12" s="1"/>
  <c r="Y113" i="6"/>
  <c r="Y17" i="11" s="1"/>
  <c r="Y174" i="6"/>
  <c r="Y19" i="14" s="1"/>
  <c r="Y159" i="6"/>
  <c r="Y19" i="13" s="1"/>
  <c r="Y144" i="6"/>
  <c r="Y20" i="12" s="1"/>
  <c r="Y115" i="6"/>
  <c r="Y19" i="11" s="1"/>
  <c r="Y176" i="6"/>
  <c r="Y21" i="14" s="1"/>
  <c r="Y161" i="6"/>
  <c r="Y21" i="13" s="1"/>
  <c r="Y146" i="6"/>
  <c r="Y22" i="12" s="1"/>
  <c r="Y117" i="6"/>
  <c r="Y21" i="11" s="1"/>
  <c r="Y178" i="6"/>
  <c r="Y23" i="14" s="1"/>
  <c r="Y163" i="6"/>
  <c r="Y23" i="13" s="1"/>
  <c r="Y148" i="6"/>
  <c r="Y24" i="12" s="1"/>
  <c r="Y119" i="6"/>
  <c r="Y23" i="11" s="1"/>
  <c r="X17" i="12"/>
  <c r="X151" i="6"/>
  <c r="T17" i="12"/>
  <c r="T151" i="6"/>
  <c r="W16" i="11"/>
  <c r="W26" i="11" s="1"/>
  <c r="W75" i="11" s="1"/>
  <c r="W122" i="6"/>
  <c r="S16" i="11"/>
  <c r="S26" i="11" s="1"/>
  <c r="S75" i="11" s="1"/>
  <c r="S122" i="6"/>
  <c r="W16" i="13"/>
  <c r="W166" i="6"/>
  <c r="U16" i="13"/>
  <c r="U166" i="6"/>
  <c r="S16" i="13"/>
  <c r="S166" i="6"/>
  <c r="Q16" i="13"/>
  <c r="Q166" i="6"/>
  <c r="V16" i="11"/>
  <c r="V26" i="11" s="1"/>
  <c r="V75" i="11" s="1"/>
  <c r="V122" i="6"/>
  <c r="R16" i="11"/>
  <c r="R26" i="11" s="1"/>
  <c r="R75" i="11" s="1"/>
  <c r="R122" i="6"/>
  <c r="X16" i="14"/>
  <c r="X26" i="14" s="1"/>
  <c r="X75" i="14" s="1"/>
  <c r="X181" i="6"/>
  <c r="V16" i="14"/>
  <c r="V26" i="14" s="1"/>
  <c r="V75" i="14" s="1"/>
  <c r="V181" i="6"/>
  <c r="T16" i="14"/>
  <c r="T26" i="14" s="1"/>
  <c r="T75" i="14" s="1"/>
  <c r="T181" i="6"/>
  <c r="R16" i="14"/>
  <c r="R26" i="14" s="1"/>
  <c r="R75" i="14" s="1"/>
  <c r="R181" i="6"/>
  <c r="W75" i="12"/>
  <c r="U75" i="12"/>
  <c r="S75" i="12"/>
  <c r="Q75" i="12"/>
  <c r="V17" i="12"/>
  <c r="V151" i="6"/>
  <c r="R17" i="12"/>
  <c r="R151" i="6"/>
  <c r="U16" i="11"/>
  <c r="U26" i="11" s="1"/>
  <c r="U75" i="11" s="1"/>
  <c r="U122" i="6"/>
  <c r="Q16" i="11"/>
  <c r="Q26" i="11" s="1"/>
  <c r="Q75" i="11" s="1"/>
  <c r="Q122" i="6"/>
  <c r="W16" i="14"/>
  <c r="W26" i="14" s="1"/>
  <c r="W75" i="14" s="1"/>
  <c r="W181" i="6"/>
  <c r="U16" i="14"/>
  <c r="U26" i="14" s="1"/>
  <c r="U75" i="14" s="1"/>
  <c r="U181" i="6"/>
  <c r="S16" i="14"/>
  <c r="S26" i="14" s="1"/>
  <c r="S75" i="14" s="1"/>
  <c r="S181" i="6"/>
  <c r="Q16" i="14"/>
  <c r="Q26" i="14" s="1"/>
  <c r="Q75" i="14" s="1"/>
  <c r="Q181" i="6"/>
  <c r="X16" i="11"/>
  <c r="X26" i="11" s="1"/>
  <c r="X75" i="11" s="1"/>
  <c r="X122" i="6"/>
  <c r="T16" i="11"/>
  <c r="T26" i="11" s="1"/>
  <c r="T75" i="11" s="1"/>
  <c r="T122" i="6"/>
  <c r="X16" i="13"/>
  <c r="X166" i="6"/>
  <c r="V16" i="13"/>
  <c r="V166" i="6"/>
  <c r="T16" i="13"/>
  <c r="T166" i="6"/>
  <c r="R16" i="13"/>
  <c r="R166" i="6"/>
  <c r="W151" i="6"/>
  <c r="U151" i="6"/>
  <c r="S151" i="6"/>
  <c r="Q151" i="6"/>
  <c r="R26" i="13" l="1"/>
  <c r="R72" i="13" s="1"/>
  <c r="R81" i="13" s="1"/>
  <c r="T26" i="13"/>
  <c r="T72" i="13" s="1"/>
  <c r="T81" i="13" s="1"/>
  <c r="V26" i="13"/>
  <c r="V72" i="13" s="1"/>
  <c r="V81" i="13" s="1"/>
  <c r="X26" i="13"/>
  <c r="X72" i="13" s="1"/>
  <c r="X81" i="13" s="1"/>
  <c r="R27" i="12"/>
  <c r="R75" i="12" s="1"/>
  <c r="R84" i="12" s="1"/>
  <c r="V27" i="12"/>
  <c r="V75" i="12" s="1"/>
  <c r="V84" i="12" s="1"/>
  <c r="Q26" i="13"/>
  <c r="Q72" i="13" s="1"/>
  <c r="Q81" i="13" s="1"/>
  <c r="S26" i="13"/>
  <c r="S72" i="13" s="1"/>
  <c r="S81" i="13" s="1"/>
  <c r="U26" i="13"/>
  <c r="U72" i="13" s="1"/>
  <c r="U81" i="13" s="1"/>
  <c r="W26" i="13"/>
  <c r="W72" i="13" s="1"/>
  <c r="W81" i="13" s="1"/>
  <c r="T27" i="12"/>
  <c r="T75" i="12" s="1"/>
  <c r="T84" i="12" s="1"/>
  <c r="X27" i="12"/>
  <c r="X75" i="12" s="1"/>
  <c r="X84" i="12" s="1"/>
  <c r="C30" i="39"/>
  <c r="C47" i="39"/>
  <c r="C47" i="42"/>
  <c r="C30" i="42"/>
  <c r="D13" i="43"/>
  <c r="D31" i="39"/>
  <c r="D48" i="39"/>
  <c r="F13" i="43"/>
  <c r="F31" i="39"/>
  <c r="F48" i="39"/>
  <c r="E13" i="43"/>
  <c r="E31" i="39"/>
  <c r="E48" i="39"/>
  <c r="G13" i="43"/>
  <c r="G48" i="39"/>
  <c r="G31" i="39"/>
  <c r="O643" i="8"/>
  <c r="O646" i="8" s="1"/>
  <c r="P84" i="11"/>
  <c r="O319" i="8"/>
  <c r="O84" i="11"/>
  <c r="L166" i="6"/>
  <c r="L151" i="6"/>
  <c r="M178" i="6"/>
  <c r="M23" i="14" s="1"/>
  <c r="M179" i="6"/>
  <c r="M24" i="14" s="1"/>
  <c r="M175" i="6"/>
  <c r="M20" i="14" s="1"/>
  <c r="M171" i="6"/>
  <c r="M161" i="6"/>
  <c r="M157" i="6"/>
  <c r="M148" i="6"/>
  <c r="M144" i="6"/>
  <c r="M163" i="6"/>
  <c r="M142" i="6"/>
  <c r="M174" i="6"/>
  <c r="M19" i="14" s="1"/>
  <c r="M160" i="6"/>
  <c r="M147" i="6"/>
  <c r="N5" i="6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M176" i="6"/>
  <c r="M21" i="14" s="1"/>
  <c r="M172" i="6"/>
  <c r="M17" i="14" s="1"/>
  <c r="M162" i="6"/>
  <c r="M158" i="6"/>
  <c r="M149" i="6"/>
  <c r="M145" i="6"/>
  <c r="M141" i="6"/>
  <c r="M177" i="6"/>
  <c r="M22" i="14" s="1"/>
  <c r="M173" i="6"/>
  <c r="M18" i="14" s="1"/>
  <c r="M159" i="6"/>
  <c r="M146" i="6"/>
  <c r="M164" i="6"/>
  <c r="M156" i="6"/>
  <c r="M143" i="6"/>
  <c r="L16" i="14"/>
  <c r="L26" i="14" s="1"/>
  <c r="L75" i="14" s="1"/>
  <c r="L181" i="6"/>
  <c r="E86" i="38"/>
  <c r="D24" i="38"/>
  <c r="D16" i="38"/>
  <c r="E65" i="38"/>
  <c r="E105" i="38"/>
  <c r="D32" i="38"/>
  <c r="D8" i="38"/>
  <c r="O857" i="8"/>
  <c r="O41" i="14" s="1"/>
  <c r="O477" i="8"/>
  <c r="O543" i="8"/>
  <c r="P542" i="8" s="1"/>
  <c r="O451" i="8"/>
  <c r="P446" i="8" s="1"/>
  <c r="P449" i="8" s="1"/>
  <c r="P830" i="8" s="1"/>
  <c r="O237" i="34"/>
  <c r="O240" i="34" s="1"/>
  <c r="O34" i="13"/>
  <c r="O704" i="8"/>
  <c r="P699" i="8" s="1"/>
  <c r="R226" i="34"/>
  <c r="R229" i="34" s="1"/>
  <c r="O598" i="8"/>
  <c r="O34" i="12" s="1"/>
  <c r="O242" i="8"/>
  <c r="O552" i="8"/>
  <c r="P550" i="8" s="1"/>
  <c r="P551" i="8" s="1"/>
  <c r="O138" i="34"/>
  <c r="P138" i="34"/>
  <c r="P214" i="34" s="1"/>
  <c r="P215" i="34" s="1"/>
  <c r="P218" i="34" s="1"/>
  <c r="S237" i="34"/>
  <c r="S240" i="34" s="1"/>
  <c r="P225" i="34"/>
  <c r="P226" i="34" s="1"/>
  <c r="P229" i="34" s="1"/>
  <c r="Q225" i="34"/>
  <c r="O610" i="8"/>
  <c r="S56" i="34"/>
  <c r="S59" i="34" s="1"/>
  <c r="S102" i="34" s="1"/>
  <c r="O441" i="8"/>
  <c r="O821" i="8"/>
  <c r="V56" i="34"/>
  <c r="P222" i="8"/>
  <c r="P224" i="8" s="1"/>
  <c r="O278" i="8"/>
  <c r="O279" i="8" s="1"/>
  <c r="O794" i="8"/>
  <c r="O34" i="14" s="1"/>
  <c r="O296" i="8"/>
  <c r="P294" i="8" s="1"/>
  <c r="O851" i="8"/>
  <c r="P849" i="8" s="1"/>
  <c r="P850" i="8" s="1"/>
  <c r="O355" i="8"/>
  <c r="O737" i="8"/>
  <c r="O147" i="8"/>
  <c r="P145" i="8" s="1"/>
  <c r="O637" i="8"/>
  <c r="P636" i="8" s="1"/>
  <c r="Q56" i="34"/>
  <c r="Q59" i="34" s="1"/>
  <c r="Q186" i="34" s="1"/>
  <c r="O18" i="9"/>
  <c r="O79" i="12" s="1"/>
  <c r="O88" i="12" s="1"/>
  <c r="C13" i="40" s="1"/>
  <c r="O20" i="9"/>
  <c r="O79" i="14" s="1"/>
  <c r="O88" i="14" s="1"/>
  <c r="C13" i="42" s="1"/>
  <c r="O17" i="9"/>
  <c r="O19" i="9"/>
  <c r="O76" i="13" s="1"/>
  <c r="O85" i="13" s="1"/>
  <c r="C13" i="41" s="1"/>
  <c r="S214" i="34"/>
  <c r="S215" i="34" s="1"/>
  <c r="S218" i="34" s="1"/>
  <c r="S80" i="11"/>
  <c r="S89" i="11" s="1"/>
  <c r="T12" i="11"/>
  <c r="T56" i="34"/>
  <c r="T59" i="34" s="1"/>
  <c r="R56" i="34"/>
  <c r="R59" i="34" s="1"/>
  <c r="R186" i="34" s="1"/>
  <c r="U56" i="34"/>
  <c r="U59" i="34" s="1"/>
  <c r="P56" i="34"/>
  <c r="P59" i="34" s="1"/>
  <c r="P102" i="34" s="1"/>
  <c r="X56" i="34"/>
  <c r="O38" i="14"/>
  <c r="O833" i="8"/>
  <c r="O58" i="14" s="1"/>
  <c r="O214" i="34"/>
  <c r="O215" i="34" s="1"/>
  <c r="O218" i="34" s="1"/>
  <c r="Q214" i="34"/>
  <c r="Q215" i="34" s="1"/>
  <c r="Q218" i="34" s="1"/>
  <c r="R214" i="34"/>
  <c r="R215" i="34" s="1"/>
  <c r="R218" i="34" s="1"/>
  <c r="P38" i="14"/>
  <c r="O40" i="13"/>
  <c r="O758" i="8"/>
  <c r="P756" i="8" s="1"/>
  <c r="P757" i="8" s="1"/>
  <c r="P466" i="8"/>
  <c r="O469" i="8"/>
  <c r="P464" i="8" s="1"/>
  <c r="P467" i="8" s="1"/>
  <c r="P848" i="8" s="1"/>
  <c r="O713" i="8"/>
  <c r="P712" i="8" s="1"/>
  <c r="O869" i="8"/>
  <c r="P868" i="8" s="1"/>
  <c r="O516" i="8"/>
  <c r="P514" i="8" s="1"/>
  <c r="P515" i="8" s="1"/>
  <c r="P450" i="8"/>
  <c r="Q448" i="8" s="1"/>
  <c r="O788" i="8"/>
  <c r="P783" i="8" s="1"/>
  <c r="O815" i="8"/>
  <c r="O56" i="14" s="1"/>
  <c r="P430" i="8"/>
  <c r="O433" i="8"/>
  <c r="P428" i="8" s="1"/>
  <c r="P431" i="8" s="1"/>
  <c r="P812" i="8" s="1"/>
  <c r="P36" i="14" s="1"/>
  <c r="Y30" i="2"/>
  <c r="Y15" i="34"/>
  <c r="Y36" i="2"/>
  <c r="Y43" i="2"/>
  <c r="Y28" i="34"/>
  <c r="Y76" i="34" s="1"/>
  <c r="Y79" i="34" s="1"/>
  <c r="Y80" i="34" s="1"/>
  <c r="Y137" i="34" s="1"/>
  <c r="Y49" i="2"/>
  <c r="Y53" i="2"/>
  <c r="Y58" i="34"/>
  <c r="Y16" i="34"/>
  <c r="Y29" i="34"/>
  <c r="Y30" i="34"/>
  <c r="Y31" i="34"/>
  <c r="O765" i="8"/>
  <c r="O30" i="13" s="1"/>
  <c r="O75" i="13" s="1"/>
  <c r="O84" i="13" s="1"/>
  <c r="C12" i="41" s="1"/>
  <c r="O762" i="8"/>
  <c r="P766" i="8" s="1"/>
  <c r="O695" i="8"/>
  <c r="P693" i="8" s="1"/>
  <c r="S56" i="2"/>
  <c r="W56" i="2"/>
  <c r="P56" i="2"/>
  <c r="N62" i="12"/>
  <c r="N65" i="12" s="1"/>
  <c r="N67" i="12" s="1"/>
  <c r="N69" i="12" s="1"/>
  <c r="N77" i="12" s="1"/>
  <c r="N80" i="12" s="1"/>
  <c r="O668" i="8"/>
  <c r="P672" i="8" s="1"/>
  <c r="O671" i="8"/>
  <c r="O31" i="12" s="1"/>
  <c r="O78" i="12" s="1"/>
  <c r="O87" i="12" s="1"/>
  <c r="C12" i="40" s="1"/>
  <c r="P260" i="8"/>
  <c r="Q258" i="8" s="1"/>
  <c r="O682" i="8"/>
  <c r="O63" i="12" s="1"/>
  <c r="P578" i="8"/>
  <c r="O764" i="8"/>
  <c r="O382" i="8"/>
  <c r="Q56" i="2"/>
  <c r="U56" i="2"/>
  <c r="R56" i="2"/>
  <c r="V56" i="2"/>
  <c r="Q189" i="8"/>
  <c r="O56" i="2"/>
  <c r="R379" i="8"/>
  <c r="P475" i="8"/>
  <c r="O478" i="8"/>
  <c r="P473" i="8" s="1"/>
  <c r="P476" i="8" s="1"/>
  <c r="P857" i="8" s="1"/>
  <c r="P41" i="14" s="1"/>
  <c r="P484" i="8"/>
  <c r="O487" i="8"/>
  <c r="P482" i="8" s="1"/>
  <c r="P485" i="8" s="1"/>
  <c r="P866" i="8" s="1"/>
  <c r="O670" i="8"/>
  <c r="O287" i="8"/>
  <c r="O576" i="8"/>
  <c r="O41" i="11" s="1"/>
  <c r="O192" i="8"/>
  <c r="T56" i="2"/>
  <c r="X56" i="2"/>
  <c r="O567" i="8"/>
  <c r="O183" i="8"/>
  <c r="R284" i="8"/>
  <c r="O459" i="8"/>
  <c r="O839" i="8"/>
  <c r="R474" i="8"/>
  <c r="P118" i="8"/>
  <c r="P120" i="8" s="1"/>
  <c r="O121" i="8"/>
  <c r="P116" i="8" s="1"/>
  <c r="S135" i="8"/>
  <c r="R214" i="8"/>
  <c r="R598" i="8" s="1"/>
  <c r="S212" i="8"/>
  <c r="O54" i="11"/>
  <c r="P547" i="8"/>
  <c r="O628" i="8"/>
  <c r="T388" i="8"/>
  <c r="O57" i="11"/>
  <c r="P538" i="8"/>
  <c r="O561" i="8"/>
  <c r="O55" i="12"/>
  <c r="P605" i="8"/>
  <c r="P608" i="8"/>
  <c r="P609" i="8" s="1"/>
  <c r="P35" i="12" s="1"/>
  <c r="P632" i="8"/>
  <c r="O59" i="12"/>
  <c r="P644" i="8"/>
  <c r="P641" i="8"/>
  <c r="P267" i="8"/>
  <c r="O270" i="8"/>
  <c r="P265" i="8" s="1"/>
  <c r="P268" i="8" s="1"/>
  <c r="P652" i="8" s="1"/>
  <c r="P308" i="8"/>
  <c r="P310" i="8" s="1"/>
  <c r="O311" i="8"/>
  <c r="P306" i="8" s="1"/>
  <c r="S420" i="8"/>
  <c r="P708" i="8"/>
  <c r="O722" i="8"/>
  <c r="P412" i="8"/>
  <c r="O415" i="8"/>
  <c r="P410" i="8" s="1"/>
  <c r="P413" i="8" s="1"/>
  <c r="P794" i="8" s="1"/>
  <c r="P421" i="8"/>
  <c r="O424" i="8"/>
  <c r="P419" i="8" s="1"/>
  <c r="P422" i="8" s="1"/>
  <c r="P803" i="8" s="1"/>
  <c r="R438" i="8"/>
  <c r="R465" i="8"/>
  <c r="P326" i="8"/>
  <c r="O329" i="8"/>
  <c r="P324" i="8" s="1"/>
  <c r="P327" i="8" s="1"/>
  <c r="P710" i="8" s="1"/>
  <c r="O731" i="8"/>
  <c r="P730" i="8" s="1"/>
  <c r="P362" i="8"/>
  <c r="O365" i="8"/>
  <c r="P360" i="8" s="1"/>
  <c r="P363" i="8" s="1"/>
  <c r="P746" i="8" s="1"/>
  <c r="P389" i="8"/>
  <c r="O392" i="8"/>
  <c r="P387" i="8" s="1"/>
  <c r="P390" i="8" s="1"/>
  <c r="P773" i="8" s="1"/>
  <c r="R411" i="8"/>
  <c r="O806" i="8"/>
  <c r="P805" i="8" s="1"/>
  <c r="T126" i="8"/>
  <c r="S198" i="8"/>
  <c r="O507" i="8"/>
  <c r="S248" i="8"/>
  <c r="P136" i="8"/>
  <c r="O139" i="8"/>
  <c r="P134" i="8" s="1"/>
  <c r="P137" i="8" s="1"/>
  <c r="P522" i="8" s="1"/>
  <c r="P154" i="8"/>
  <c r="O157" i="8"/>
  <c r="P152" i="8" s="1"/>
  <c r="P155" i="8" s="1"/>
  <c r="P540" i="8" s="1"/>
  <c r="P37" i="11" s="1"/>
  <c r="R257" i="8"/>
  <c r="R266" i="8"/>
  <c r="O655" i="8"/>
  <c r="R293" i="8"/>
  <c r="S404" i="8"/>
  <c r="S785" i="8" s="1"/>
  <c r="T402" i="8"/>
  <c r="O525" i="8"/>
  <c r="P524" i="8" s="1"/>
  <c r="S221" i="8"/>
  <c r="O616" i="8"/>
  <c r="O233" i="8"/>
  <c r="S370" i="8"/>
  <c r="S343" i="8"/>
  <c r="R352" i="8"/>
  <c r="R361" i="8"/>
  <c r="O749" i="8"/>
  <c r="O776" i="8"/>
  <c r="P775" i="8" s="1"/>
  <c r="O52" i="13"/>
  <c r="P702" i="8"/>
  <c r="P703" i="8" s="1"/>
  <c r="P403" i="8"/>
  <c r="P405" i="8" s="1"/>
  <c r="O406" i="8"/>
  <c r="P401" i="8" s="1"/>
  <c r="T162" i="8"/>
  <c r="N67" i="11"/>
  <c r="N69" i="11" s="1"/>
  <c r="T144" i="8"/>
  <c r="P172" i="8"/>
  <c r="O175" i="8"/>
  <c r="P170" i="8" s="1"/>
  <c r="P173" i="8" s="1"/>
  <c r="P558" i="8" s="1"/>
  <c r="P240" i="8"/>
  <c r="O243" i="8"/>
  <c r="P238" i="8" s="1"/>
  <c r="P241" i="8" s="1"/>
  <c r="P625" i="8" s="1"/>
  <c r="P37" i="12" s="1"/>
  <c r="Q309" i="8"/>
  <c r="Q692" i="8" s="1"/>
  <c r="R307" i="8"/>
  <c r="O51" i="13"/>
  <c r="P690" i="8"/>
  <c r="R239" i="8"/>
  <c r="P335" i="8"/>
  <c r="O338" i="8"/>
  <c r="P333" i="8" s="1"/>
  <c r="P336" i="8" s="1"/>
  <c r="P719" i="8" s="1"/>
  <c r="P36" i="13" s="1"/>
  <c r="P344" i="8"/>
  <c r="O347" i="8"/>
  <c r="P342" i="8" s="1"/>
  <c r="P345" i="8" s="1"/>
  <c r="P728" i="8" s="1"/>
  <c r="N66" i="14"/>
  <c r="N68" i="14" s="1"/>
  <c r="N77" i="14" s="1"/>
  <c r="N80" i="14" s="1"/>
  <c r="O53" i="14"/>
  <c r="P786" i="8"/>
  <c r="P787" i="8" s="1"/>
  <c r="P33" i="14" s="1"/>
  <c r="R429" i="8"/>
  <c r="R447" i="8"/>
  <c r="R483" i="8"/>
  <c r="O58" i="13"/>
  <c r="P753" i="8"/>
  <c r="S456" i="8"/>
  <c r="R119" i="8"/>
  <c r="R504" i="8" s="1"/>
  <c r="S117" i="8"/>
  <c r="S171" i="8"/>
  <c r="O102" i="34"/>
  <c r="O186" i="34"/>
  <c r="S153" i="8"/>
  <c r="O534" i="8"/>
  <c r="P199" i="8"/>
  <c r="O202" i="8"/>
  <c r="P197" i="8" s="1"/>
  <c r="P200" i="8" s="1"/>
  <c r="P585" i="8" s="1"/>
  <c r="P213" i="8"/>
  <c r="P215" i="8" s="1"/>
  <c r="O216" i="8"/>
  <c r="P211" i="8" s="1"/>
  <c r="P249" i="8"/>
  <c r="O252" i="8"/>
  <c r="P247" i="8" s="1"/>
  <c r="P250" i="8" s="1"/>
  <c r="P634" i="8" s="1"/>
  <c r="S275" i="8"/>
  <c r="P681" i="8"/>
  <c r="N64" i="13"/>
  <c r="N66" i="13" s="1"/>
  <c r="N74" i="13" s="1"/>
  <c r="N77" i="13" s="1"/>
  <c r="T325" i="8"/>
  <c r="P127" i="8"/>
  <c r="O130" i="8"/>
  <c r="P125" i="8" s="1"/>
  <c r="P128" i="8" s="1"/>
  <c r="P513" i="8" s="1"/>
  <c r="P163" i="8"/>
  <c r="O166" i="8"/>
  <c r="P161" i="8" s="1"/>
  <c r="P164" i="8" s="1"/>
  <c r="P549" i="8" s="1"/>
  <c r="S180" i="8"/>
  <c r="O588" i="8"/>
  <c r="Q230" i="8"/>
  <c r="O664" i="8"/>
  <c r="P371" i="8"/>
  <c r="O374" i="8"/>
  <c r="P369" i="8" s="1"/>
  <c r="P372" i="8" s="1"/>
  <c r="P755" i="8" s="1"/>
  <c r="R334" i="8"/>
  <c r="W188" i="34"/>
  <c r="V191" i="34"/>
  <c r="T214" i="34"/>
  <c r="T215" i="34" s="1"/>
  <c r="T218" i="34" s="1"/>
  <c r="V203" i="34"/>
  <c r="T236" i="34"/>
  <c r="T237" i="34" s="1"/>
  <c r="T240" i="34" s="1"/>
  <c r="V104" i="34"/>
  <c r="U107" i="34"/>
  <c r="U152" i="34"/>
  <c r="V149" i="34"/>
  <c r="V20" i="34"/>
  <c r="U213" i="34"/>
  <c r="V211" i="34"/>
  <c r="U138" i="34"/>
  <c r="V134" i="34"/>
  <c r="W123" i="34"/>
  <c r="X120" i="34"/>
  <c r="U235" i="34"/>
  <c r="V233" i="34"/>
  <c r="V162" i="34"/>
  <c r="U165" i="34"/>
  <c r="U224" i="34"/>
  <c r="T192" i="34"/>
  <c r="T193" i="34" s="1"/>
  <c r="T196" i="34" s="1"/>
  <c r="T225" i="34"/>
  <c r="T226" i="34" s="1"/>
  <c r="T229" i="34" s="1"/>
  <c r="Y17" i="12"/>
  <c r="Y151" i="6"/>
  <c r="Y16" i="14"/>
  <c r="Y26" i="14" s="1"/>
  <c r="Y75" i="14" s="1"/>
  <c r="Y181" i="6"/>
  <c r="Y16" i="11"/>
  <c r="Y26" i="11" s="1"/>
  <c r="Y75" i="11" s="1"/>
  <c r="Y122" i="6"/>
  <c r="Y16" i="13"/>
  <c r="Y166" i="6"/>
  <c r="T84" i="11"/>
  <c r="X84" i="11"/>
  <c r="Q84" i="14"/>
  <c r="S84" i="14"/>
  <c r="U84" i="14"/>
  <c r="W84" i="14"/>
  <c r="Q84" i="11"/>
  <c r="U84" i="11"/>
  <c r="S84" i="12"/>
  <c r="W84" i="12"/>
  <c r="R84" i="14"/>
  <c r="T84" i="14"/>
  <c r="V84" i="14"/>
  <c r="X84" i="14"/>
  <c r="R84" i="11"/>
  <c r="V84" i="11"/>
  <c r="Q84" i="12"/>
  <c r="U84" i="12"/>
  <c r="S84" i="11"/>
  <c r="W84" i="11"/>
  <c r="Y26" i="13" l="1"/>
  <c r="Y72" i="13" s="1"/>
  <c r="Y81" i="13" s="1"/>
  <c r="Y27" i="12"/>
  <c r="Y75" i="12" s="1"/>
  <c r="Y84" i="12" s="1"/>
  <c r="C47" i="40"/>
  <c r="C30" i="40"/>
  <c r="C47" i="41"/>
  <c r="C30" i="41"/>
  <c r="C48" i="41"/>
  <c r="C31" i="41"/>
  <c r="O79" i="11"/>
  <c r="O88" i="11" s="1"/>
  <c r="C13" i="39" s="1"/>
  <c r="O22" i="9"/>
  <c r="C48" i="42"/>
  <c r="C31" i="42"/>
  <c r="C48" i="40"/>
  <c r="C31" i="40"/>
  <c r="G48" i="43"/>
  <c r="G31" i="43"/>
  <c r="E48" i="43"/>
  <c r="E31" i="43"/>
  <c r="F48" i="43"/>
  <c r="F31" i="43"/>
  <c r="D31" i="43"/>
  <c r="D48" i="43"/>
  <c r="C12" i="43"/>
  <c r="P274" i="8"/>
  <c r="P277" i="8" s="1"/>
  <c r="P276" i="8"/>
  <c r="P864" i="8"/>
  <c r="O320" i="8"/>
  <c r="P315" i="8" s="1"/>
  <c r="P318" i="8" s="1"/>
  <c r="P701" i="8" s="1"/>
  <c r="P34" i="13" s="1"/>
  <c r="P317" i="8"/>
  <c r="O860" i="8"/>
  <c r="M151" i="6"/>
  <c r="M166" i="6"/>
  <c r="M16" i="14"/>
  <c r="M26" i="14" s="1"/>
  <c r="M75" i="14" s="1"/>
  <c r="M80" i="14" s="1"/>
  <c r="M181" i="6"/>
  <c r="E93" i="38"/>
  <c r="G93" i="38"/>
  <c r="G94" i="38" s="1"/>
  <c r="G102" i="38" s="1"/>
  <c r="N98" i="38"/>
  <c r="N99" i="38" s="1"/>
  <c r="N102" i="38" s="1"/>
  <c r="J93" i="38"/>
  <c r="J94" i="38" s="1"/>
  <c r="J102" i="38" s="1"/>
  <c r="O98" i="38"/>
  <c r="O99" i="38" s="1"/>
  <c r="O102" i="38" s="1"/>
  <c r="M98" i="38"/>
  <c r="M99" i="38" s="1"/>
  <c r="M102" i="38" s="1"/>
  <c r="F93" i="38"/>
  <c r="F94" i="38" s="1"/>
  <c r="F102" i="38" s="1"/>
  <c r="P98" i="38"/>
  <c r="P99" i="38" s="1"/>
  <c r="P102" i="38" s="1"/>
  <c r="H93" i="38"/>
  <c r="H94" i="38" s="1"/>
  <c r="H102" i="38" s="1"/>
  <c r="L98" i="38"/>
  <c r="L99" i="38" s="1"/>
  <c r="L102" i="38" s="1"/>
  <c r="I93" i="38"/>
  <c r="I94" i="38" s="1"/>
  <c r="I102" i="38" s="1"/>
  <c r="K98" i="38"/>
  <c r="J74" i="38"/>
  <c r="J75" i="38" s="1"/>
  <c r="J83" i="38" s="1"/>
  <c r="P79" i="38"/>
  <c r="P80" i="38" s="1"/>
  <c r="P83" i="38" s="1"/>
  <c r="O79" i="38"/>
  <c r="O80" i="38" s="1"/>
  <c r="O83" i="38" s="1"/>
  <c r="E74" i="38"/>
  <c r="L79" i="38"/>
  <c r="L80" i="38" s="1"/>
  <c r="L83" i="38" s="1"/>
  <c r="K79" i="38"/>
  <c r="H74" i="38"/>
  <c r="H75" i="38" s="1"/>
  <c r="H83" i="38" s="1"/>
  <c r="I74" i="38"/>
  <c r="I75" i="38" s="1"/>
  <c r="I83" i="38" s="1"/>
  <c r="G74" i="38"/>
  <c r="G75" i="38" s="1"/>
  <c r="G83" i="38" s="1"/>
  <c r="F74" i="38"/>
  <c r="F75" i="38" s="1"/>
  <c r="F83" i="38" s="1"/>
  <c r="M79" i="38"/>
  <c r="M80" i="38" s="1"/>
  <c r="M83" i="38" s="1"/>
  <c r="N79" i="38"/>
  <c r="N80" i="38" s="1"/>
  <c r="N83" i="38" s="1"/>
  <c r="E53" i="38"/>
  <c r="O58" i="38"/>
  <c r="O59" i="38" s="1"/>
  <c r="O62" i="38" s="1"/>
  <c r="N58" i="38"/>
  <c r="N59" i="38" s="1"/>
  <c r="N62" i="38" s="1"/>
  <c r="P58" i="38"/>
  <c r="P59" i="38" s="1"/>
  <c r="P62" i="38" s="1"/>
  <c r="K58" i="38"/>
  <c r="G53" i="38"/>
  <c r="G54" i="38" s="1"/>
  <c r="G62" i="38" s="1"/>
  <c r="I53" i="38"/>
  <c r="I54" i="38" s="1"/>
  <c r="I62" i="38" s="1"/>
  <c r="J53" i="38"/>
  <c r="J54" i="38" s="1"/>
  <c r="J62" i="38" s="1"/>
  <c r="M58" i="38"/>
  <c r="M59" i="38" s="1"/>
  <c r="M62" i="38" s="1"/>
  <c r="L58" i="38"/>
  <c r="L59" i="38" s="1"/>
  <c r="L62" i="38" s="1"/>
  <c r="F53" i="38"/>
  <c r="F54" i="38" s="1"/>
  <c r="F62" i="38" s="1"/>
  <c r="H53" i="38"/>
  <c r="H54" i="38" s="1"/>
  <c r="H62" i="38" s="1"/>
  <c r="D9" i="38"/>
  <c r="E49" i="38"/>
  <c r="Q102" i="34"/>
  <c r="P186" i="34"/>
  <c r="P468" i="8"/>
  <c r="Q466" i="8" s="1"/>
  <c r="P40" i="14"/>
  <c r="Y14" i="34"/>
  <c r="Y54" i="34" s="1"/>
  <c r="R102" i="34"/>
  <c r="S186" i="34"/>
  <c r="O60" i="14"/>
  <c r="O58" i="12"/>
  <c r="O58" i="11"/>
  <c r="O601" i="8"/>
  <c r="O54" i="12" s="1"/>
  <c r="P38" i="12"/>
  <c r="O797" i="8"/>
  <c r="P795" i="8" s="1"/>
  <c r="P796" i="8" s="1"/>
  <c r="P34" i="14" s="1"/>
  <c r="T186" i="34"/>
  <c r="T102" i="34"/>
  <c r="P225" i="8"/>
  <c r="Q220" i="8" s="1"/>
  <c r="Q223" i="8" s="1"/>
  <c r="Q607" i="8" s="1"/>
  <c r="Q222" i="8"/>
  <c r="P353" i="8"/>
  <c r="O356" i="8"/>
  <c r="P351" i="8" s="1"/>
  <c r="P354" i="8" s="1"/>
  <c r="P737" i="8" s="1"/>
  <c r="P38" i="13" s="1"/>
  <c r="O442" i="8"/>
  <c r="P437" i="8" s="1"/>
  <c r="P440" i="8" s="1"/>
  <c r="P821" i="8" s="1"/>
  <c r="P439" i="8"/>
  <c r="O148" i="8"/>
  <c r="P143" i="8" s="1"/>
  <c r="P146" i="8" s="1"/>
  <c r="P531" i="8" s="1"/>
  <c r="P846" i="8"/>
  <c r="P831" i="8"/>
  <c r="O62" i="14"/>
  <c r="O297" i="8"/>
  <c r="P292" i="8" s="1"/>
  <c r="P295" i="8" s="1"/>
  <c r="P679" i="8" s="1"/>
  <c r="P677" i="8"/>
  <c r="P810" i="8"/>
  <c r="P815" i="8" s="1"/>
  <c r="P42" i="14"/>
  <c r="P828" i="8"/>
  <c r="Q832" i="8" s="1"/>
  <c r="P511" i="8"/>
  <c r="O38" i="13"/>
  <c r="O740" i="8"/>
  <c r="O37" i="14"/>
  <c r="O824" i="8"/>
  <c r="U12" i="11"/>
  <c r="T80" i="11"/>
  <c r="T89" i="11" s="1"/>
  <c r="P486" i="8"/>
  <c r="P38" i="11"/>
  <c r="P261" i="8"/>
  <c r="Q256" i="8" s="1"/>
  <c r="Q259" i="8" s="1"/>
  <c r="Q643" i="8" s="1"/>
  <c r="P469" i="8"/>
  <c r="Q464" i="8" s="1"/>
  <c r="Q467" i="8" s="1"/>
  <c r="Q468" i="8" s="1"/>
  <c r="P138" i="8"/>
  <c r="P139" i="8" s="1"/>
  <c r="Q134" i="8" s="1"/>
  <c r="Q137" i="8" s="1"/>
  <c r="Q522" i="8" s="1"/>
  <c r="P35" i="13"/>
  <c r="O53" i="13"/>
  <c r="P432" i="8"/>
  <c r="Q430" i="8" s="1"/>
  <c r="P34" i="11"/>
  <c r="P451" i="8"/>
  <c r="Q446" i="8" s="1"/>
  <c r="Q449" i="8" s="1"/>
  <c r="Q830" i="8" s="1"/>
  <c r="Y32" i="2"/>
  <c r="N219" i="34"/>
  <c r="P242" i="8"/>
  <c r="P243" i="8" s="1"/>
  <c r="Q238" i="8" s="1"/>
  <c r="Q241" i="8" s="1"/>
  <c r="Q625" i="8" s="1"/>
  <c r="P174" i="8"/>
  <c r="Q172" i="8" s="1"/>
  <c r="Y164" i="34"/>
  <c r="Y92" i="34"/>
  <c r="Y136" i="34"/>
  <c r="Y82" i="34"/>
  <c r="Y55" i="2"/>
  <c r="Y45" i="2"/>
  <c r="Y151" i="34"/>
  <c r="Y87" i="34"/>
  <c r="Y122" i="34"/>
  <c r="Y67" i="34"/>
  <c r="Y201" i="34" s="1"/>
  <c r="Y106" i="34"/>
  <c r="Y190" i="34"/>
  <c r="Y63" i="34"/>
  <c r="O39" i="14"/>
  <c r="O842" i="8"/>
  <c r="S284" i="8"/>
  <c r="O40" i="11"/>
  <c r="O47" i="11" s="1"/>
  <c r="O76" i="11" s="1"/>
  <c r="O570" i="8"/>
  <c r="O42" i="12"/>
  <c r="O673" i="8"/>
  <c r="R189" i="8"/>
  <c r="O41" i="13"/>
  <c r="O767" i="8"/>
  <c r="O579" i="8"/>
  <c r="P165" i="8"/>
  <c r="Q163" i="8" s="1"/>
  <c r="P346" i="8"/>
  <c r="Q344" i="8" s="1"/>
  <c r="P337" i="8"/>
  <c r="Q335" i="8" s="1"/>
  <c r="P391" i="8"/>
  <c r="Q389" i="8" s="1"/>
  <c r="P364" i="8"/>
  <c r="P365" i="8" s="1"/>
  <c r="Q360" i="8" s="1"/>
  <c r="Q363" i="8" s="1"/>
  <c r="Q746" i="8" s="1"/>
  <c r="P423" i="8"/>
  <c r="Q421" i="8" s="1"/>
  <c r="P414" i="8"/>
  <c r="Q412" i="8" s="1"/>
  <c r="S474" i="8"/>
  <c r="P457" i="8"/>
  <c r="O460" i="8"/>
  <c r="P455" i="8" s="1"/>
  <c r="P458" i="8" s="1"/>
  <c r="P839" i="8" s="1"/>
  <c r="P181" i="8"/>
  <c r="O184" i="8"/>
  <c r="P179" i="8" s="1"/>
  <c r="P182" i="8" s="1"/>
  <c r="P567" i="8" s="1"/>
  <c r="P40" i="11" s="1"/>
  <c r="P190" i="8"/>
  <c r="O193" i="8"/>
  <c r="P188" i="8" s="1"/>
  <c r="P191" i="8" s="1"/>
  <c r="P576" i="8" s="1"/>
  <c r="P41" i="11" s="1"/>
  <c r="P285" i="8"/>
  <c r="O288" i="8"/>
  <c r="P283" i="8" s="1"/>
  <c r="P286" i="8" s="1"/>
  <c r="P670" i="8" s="1"/>
  <c r="P42" i="12" s="1"/>
  <c r="P477" i="8"/>
  <c r="S379" i="8"/>
  <c r="P380" i="8"/>
  <c r="O383" i="8"/>
  <c r="P378" i="8" s="1"/>
  <c r="P381" i="8" s="1"/>
  <c r="P764" i="8" s="1"/>
  <c r="P41" i="13" s="1"/>
  <c r="Q848" i="8"/>
  <c r="P851" i="8"/>
  <c r="P373" i="8"/>
  <c r="Q484" i="8"/>
  <c r="P487" i="8"/>
  <c r="Q482" i="8" s="1"/>
  <c r="Q485" i="8" s="1"/>
  <c r="Q866" i="8" s="1"/>
  <c r="R230" i="8"/>
  <c r="O62" i="11"/>
  <c r="P583" i="8"/>
  <c r="T180" i="8"/>
  <c r="P129" i="8"/>
  <c r="T275" i="8"/>
  <c r="P251" i="8"/>
  <c r="Q213" i="8"/>
  <c r="Q215" i="8" s="1"/>
  <c r="P216" i="8"/>
  <c r="Q211" i="8" s="1"/>
  <c r="P201" i="8"/>
  <c r="T117" i="8"/>
  <c r="S119" i="8"/>
  <c r="S504" i="8" s="1"/>
  <c r="P869" i="8"/>
  <c r="Q868" i="8" s="1"/>
  <c r="Q42" i="14" s="1"/>
  <c r="T456" i="8"/>
  <c r="S483" i="8"/>
  <c r="S429" i="8"/>
  <c r="P788" i="8"/>
  <c r="P37" i="13"/>
  <c r="S239" i="8"/>
  <c r="S307" i="8"/>
  <c r="R309" i="8"/>
  <c r="R692" i="8" s="1"/>
  <c r="U144" i="8"/>
  <c r="U162" i="8"/>
  <c r="Q403" i="8"/>
  <c r="Q405" i="8" s="1"/>
  <c r="P406" i="8"/>
  <c r="Q401" i="8" s="1"/>
  <c r="P704" i="8"/>
  <c r="P792" i="8"/>
  <c r="O57" i="13"/>
  <c r="P747" i="8"/>
  <c r="P748" i="8" s="1"/>
  <c r="P744" i="8"/>
  <c r="S352" i="8"/>
  <c r="T370" i="8"/>
  <c r="P231" i="8"/>
  <c r="O234" i="8"/>
  <c r="P229" i="8" s="1"/>
  <c r="P232" i="8" s="1"/>
  <c r="P616" i="8" s="1"/>
  <c r="P587" i="8"/>
  <c r="P42" i="11" s="1"/>
  <c r="S293" i="8"/>
  <c r="S266" i="8"/>
  <c r="P156" i="8"/>
  <c r="P35" i="11"/>
  <c r="T248" i="8"/>
  <c r="T198" i="8"/>
  <c r="U126" i="8"/>
  <c r="P713" i="8"/>
  <c r="Q712" i="8" s="1"/>
  <c r="P646" i="8"/>
  <c r="Q645" i="8"/>
  <c r="P610" i="8"/>
  <c r="O59" i="11"/>
  <c r="P556" i="8"/>
  <c r="P559" i="8"/>
  <c r="P560" i="8" s="1"/>
  <c r="P39" i="11" s="1"/>
  <c r="T135" i="8"/>
  <c r="Q118" i="8"/>
  <c r="Q120" i="8" s="1"/>
  <c r="P121" i="8"/>
  <c r="Q116" i="8" s="1"/>
  <c r="S334" i="8"/>
  <c r="P40" i="13"/>
  <c r="O61" i="12"/>
  <c r="P662" i="8"/>
  <c r="P663" i="8" s="1"/>
  <c r="P659" i="8"/>
  <c r="P599" i="8"/>
  <c r="P600" i="8" s="1"/>
  <c r="P34" i="12" s="1"/>
  <c r="P166" i="8"/>
  <c r="Q161" i="8" s="1"/>
  <c r="Q164" i="8" s="1"/>
  <c r="Q549" i="8" s="1"/>
  <c r="U325" i="8"/>
  <c r="O56" i="11"/>
  <c r="P529" i="8"/>
  <c r="T153" i="8"/>
  <c r="T171" i="8"/>
  <c r="P758" i="8"/>
  <c r="S447" i="8"/>
  <c r="P347" i="8"/>
  <c r="Q342" i="8" s="1"/>
  <c r="Q345" i="8" s="1"/>
  <c r="Q728" i="8" s="1"/>
  <c r="Q240" i="8"/>
  <c r="P175" i="8"/>
  <c r="Q170" i="8" s="1"/>
  <c r="Q173" i="8" s="1"/>
  <c r="Q558" i="8" s="1"/>
  <c r="O60" i="13"/>
  <c r="P771" i="8"/>
  <c r="S361" i="8"/>
  <c r="T343" i="8"/>
  <c r="O36" i="12"/>
  <c r="O619" i="8"/>
  <c r="P618" i="8" s="1"/>
  <c r="T221" i="8"/>
  <c r="O55" i="11"/>
  <c r="P520" i="8"/>
  <c r="U402" i="8"/>
  <c r="T404" i="8"/>
  <c r="T785" i="8" s="1"/>
  <c r="O60" i="12"/>
  <c r="P653" i="8"/>
  <c r="P654" i="8" s="1"/>
  <c r="P40" i="12" s="1"/>
  <c r="P650" i="8"/>
  <c r="S257" i="8"/>
  <c r="P533" i="8"/>
  <c r="P36" i="11" s="1"/>
  <c r="O53" i="11"/>
  <c r="P505" i="8"/>
  <c r="P502" i="8"/>
  <c r="O55" i="14"/>
  <c r="P801" i="8"/>
  <c r="S411" i="8"/>
  <c r="P42" i="13"/>
  <c r="P39" i="13"/>
  <c r="O55" i="13"/>
  <c r="P726" i="8"/>
  <c r="P328" i="8"/>
  <c r="S465" i="8"/>
  <c r="S438" i="8"/>
  <c r="P35" i="14"/>
  <c r="O54" i="13"/>
  <c r="P717" i="8"/>
  <c r="T420" i="8"/>
  <c r="Q308" i="8"/>
  <c r="Q310" i="8" s="1"/>
  <c r="P311" i="8"/>
  <c r="Q306" i="8" s="1"/>
  <c r="P269" i="8"/>
  <c r="P637" i="8"/>
  <c r="Q636" i="8" s="1"/>
  <c r="P543" i="8"/>
  <c r="Q542" i="8" s="1"/>
  <c r="U388" i="8"/>
  <c r="O57" i="12"/>
  <c r="P623" i="8"/>
  <c r="P552" i="8"/>
  <c r="P516" i="8"/>
  <c r="T212" i="8"/>
  <c r="S214" i="8"/>
  <c r="S598" i="8" s="1"/>
  <c r="P694" i="8"/>
  <c r="P33" i="13" s="1"/>
  <c r="V165" i="34"/>
  <c r="W162" i="34"/>
  <c r="W203" i="34"/>
  <c r="U214" i="34"/>
  <c r="U215" i="34" s="1"/>
  <c r="U218" i="34" s="1"/>
  <c r="U186" i="34"/>
  <c r="U102" i="34"/>
  <c r="U225" i="34"/>
  <c r="U226" i="34" s="1"/>
  <c r="U229" i="34" s="1"/>
  <c r="V107" i="34"/>
  <c r="W104" i="34"/>
  <c r="W191" i="34"/>
  <c r="X188" i="34"/>
  <c r="V224" i="34"/>
  <c r="U236" i="34"/>
  <c r="U237" i="34" s="1"/>
  <c r="U240" i="34" s="1"/>
  <c r="V235" i="34"/>
  <c r="W233" i="34"/>
  <c r="X123" i="34"/>
  <c r="Y120" i="34"/>
  <c r="V138" i="34"/>
  <c r="W134" i="34"/>
  <c r="V213" i="34"/>
  <c r="W211" i="34"/>
  <c r="V59" i="34"/>
  <c r="W20" i="34"/>
  <c r="V152" i="34"/>
  <c r="W149" i="34"/>
  <c r="U192" i="34"/>
  <c r="U193" i="34" s="1"/>
  <c r="U196" i="34" s="1"/>
  <c r="Y84" i="11"/>
  <c r="Y84" i="14"/>
  <c r="P661" i="8" l="1"/>
  <c r="P278" i="8"/>
  <c r="Q276" i="8" s="1"/>
  <c r="Q486" i="8"/>
  <c r="P682" i="8"/>
  <c r="Q681" i="8" s="1"/>
  <c r="C30" i="43"/>
  <c r="C47" i="43"/>
  <c r="C13" i="43"/>
  <c r="C48" i="39"/>
  <c r="C31" i="39"/>
  <c r="P41" i="12"/>
  <c r="P319" i="8"/>
  <c r="O61" i="14"/>
  <c r="P855" i="8"/>
  <c r="P858" i="8"/>
  <c r="P833" i="8"/>
  <c r="O85" i="11"/>
  <c r="C10" i="39" s="1"/>
  <c r="K80" i="38"/>
  <c r="Q79" i="38"/>
  <c r="N42" i="38"/>
  <c r="N43" i="38" s="1"/>
  <c r="N46" i="38" s="1"/>
  <c r="O42" i="38"/>
  <c r="O43" i="38" s="1"/>
  <c r="O46" i="38" s="1"/>
  <c r="E37" i="38"/>
  <c r="I37" i="38"/>
  <c r="I38" i="38" s="1"/>
  <c r="I46" i="38" s="1"/>
  <c r="L42" i="38"/>
  <c r="L43" i="38" s="1"/>
  <c r="L46" i="38" s="1"/>
  <c r="F37" i="38"/>
  <c r="F38" i="38" s="1"/>
  <c r="F46" i="38" s="1"/>
  <c r="G37" i="38"/>
  <c r="G38" i="38" s="1"/>
  <c r="G46" i="38" s="1"/>
  <c r="K42" i="38"/>
  <c r="J37" i="38"/>
  <c r="J38" i="38" s="1"/>
  <c r="J46" i="38" s="1"/>
  <c r="M42" i="38"/>
  <c r="M43" i="38" s="1"/>
  <c r="M46" i="38" s="1"/>
  <c r="P42" i="38"/>
  <c r="P43" i="38" s="1"/>
  <c r="P46" i="38" s="1"/>
  <c r="H37" i="38"/>
  <c r="H38" i="38" s="1"/>
  <c r="H46" i="38" s="1"/>
  <c r="Q58" i="38"/>
  <c r="K59" i="38"/>
  <c r="Q53" i="38"/>
  <c r="E54" i="38"/>
  <c r="E94" i="38"/>
  <c r="Q93" i="38"/>
  <c r="Q74" i="38"/>
  <c r="E75" i="38"/>
  <c r="K99" i="38"/>
  <c r="Q98" i="38"/>
  <c r="P424" i="8"/>
  <c r="Q419" i="8" s="1"/>
  <c r="Q422" i="8" s="1"/>
  <c r="Q803" i="8" s="1"/>
  <c r="Y123" i="34"/>
  <c r="P43" i="12"/>
  <c r="P596" i="8"/>
  <c r="P415" i="8"/>
  <c r="Q410" i="8" s="1"/>
  <c r="Q413" i="8" s="1"/>
  <c r="Q794" i="8" s="1"/>
  <c r="P296" i="8"/>
  <c r="Q294" i="8" s="1"/>
  <c r="O54" i="14"/>
  <c r="P147" i="8"/>
  <c r="P441" i="8"/>
  <c r="Q439" i="8" s="1"/>
  <c r="Q224" i="8"/>
  <c r="R222" i="8" s="1"/>
  <c r="Q362" i="8"/>
  <c r="O47" i="14"/>
  <c r="O76" i="14" s="1"/>
  <c r="O85" i="14" s="1"/>
  <c r="C10" i="42" s="1"/>
  <c r="Q260" i="8"/>
  <c r="Q814" i="8"/>
  <c r="Q38" i="14"/>
  <c r="Q450" i="8"/>
  <c r="R448" i="8" s="1"/>
  <c r="O47" i="13"/>
  <c r="O73" i="13" s="1"/>
  <c r="O82" i="13" s="1"/>
  <c r="C10" i="41" s="1"/>
  <c r="P823" i="8"/>
  <c r="P37" i="14" s="1"/>
  <c r="O57" i="14"/>
  <c r="P819" i="8"/>
  <c r="P738" i="8"/>
  <c r="O56" i="13"/>
  <c r="P735" i="8"/>
  <c r="Q136" i="8"/>
  <c r="P338" i="8"/>
  <c r="Q333" i="8" s="1"/>
  <c r="Q336" i="8" s="1"/>
  <c r="Q719" i="8" s="1"/>
  <c r="P392" i="8"/>
  <c r="Q387" i="8" s="1"/>
  <c r="Q390" i="8" s="1"/>
  <c r="Q773" i="8" s="1"/>
  <c r="P355" i="8"/>
  <c r="P433" i="8"/>
  <c r="Q428" i="8" s="1"/>
  <c r="Q431" i="8" s="1"/>
  <c r="Q812" i="8" s="1"/>
  <c r="U80" i="11"/>
  <c r="U89" i="11" s="1"/>
  <c r="V12" i="11"/>
  <c r="Y56" i="34"/>
  <c r="O48" i="12"/>
  <c r="O76" i="12" s="1"/>
  <c r="O85" i="12" s="1"/>
  <c r="C10" i="40" s="1"/>
  <c r="P279" i="8"/>
  <c r="Q274" i="8" s="1"/>
  <c r="Q277" i="8" s="1"/>
  <c r="Q661" i="8" s="1"/>
  <c r="P47" i="11"/>
  <c r="P76" i="11" s="1"/>
  <c r="Q432" i="8"/>
  <c r="Q433" i="8" s="1"/>
  <c r="R428" i="8" s="1"/>
  <c r="R431" i="8" s="1"/>
  <c r="R812" i="8" s="1"/>
  <c r="Q165" i="8"/>
  <c r="Q166" i="8" s="1"/>
  <c r="R161" i="8" s="1"/>
  <c r="R164" i="8" s="1"/>
  <c r="R549" i="8" s="1"/>
  <c r="O62" i="13"/>
  <c r="O64" i="13" s="1"/>
  <c r="Q423" i="8"/>
  <c r="R421" i="8" s="1"/>
  <c r="Q364" i="8"/>
  <c r="P382" i="8"/>
  <c r="T379" i="8"/>
  <c r="Q475" i="8"/>
  <c r="P478" i="8"/>
  <c r="Q473" i="8" s="1"/>
  <c r="Q476" i="8" s="1"/>
  <c r="Q857" i="8" s="1"/>
  <c r="P287" i="8"/>
  <c r="P192" i="8"/>
  <c r="P183" i="8"/>
  <c r="P459" i="8"/>
  <c r="T474" i="8"/>
  <c r="P765" i="8"/>
  <c r="P30" i="13" s="1"/>
  <c r="P75" i="13" s="1"/>
  <c r="P84" i="13" s="1"/>
  <c r="D12" i="41" s="1"/>
  <c r="P762" i="8"/>
  <c r="S189" i="8"/>
  <c r="T284" i="8"/>
  <c r="P840" i="8"/>
  <c r="O59" i="14"/>
  <c r="P837" i="8"/>
  <c r="P47" i="13"/>
  <c r="P73" i="13" s="1"/>
  <c r="P82" i="13" s="1"/>
  <c r="D10" i="41" s="1"/>
  <c r="D27" i="41" s="1"/>
  <c r="D45" i="41" s="1"/>
  <c r="O61" i="11"/>
  <c r="P574" i="8"/>
  <c r="O62" i="12"/>
  <c r="P671" i="8"/>
  <c r="P31" i="12" s="1"/>
  <c r="P78" i="12" s="1"/>
  <c r="P87" i="12" s="1"/>
  <c r="D12" i="40" s="1"/>
  <c r="P668" i="8"/>
  <c r="O60" i="11"/>
  <c r="P565" i="8"/>
  <c r="P628" i="8"/>
  <c r="Q627" i="8"/>
  <c r="V388" i="8"/>
  <c r="P57" i="11"/>
  <c r="Q538" i="8"/>
  <c r="P58" i="12"/>
  <c r="Q632" i="8"/>
  <c r="U420" i="8"/>
  <c r="T438" i="8"/>
  <c r="P731" i="8"/>
  <c r="Q730" i="8" s="1"/>
  <c r="Q37" i="13" s="1"/>
  <c r="T411" i="8"/>
  <c r="P56" i="14"/>
  <c r="Q810" i="8"/>
  <c r="Q138" i="8"/>
  <c r="P525" i="8"/>
  <c r="Q524" i="8" s="1"/>
  <c r="Q35" i="11" s="1"/>
  <c r="O56" i="12"/>
  <c r="P614" i="8"/>
  <c r="T361" i="8"/>
  <c r="Q174" i="8"/>
  <c r="Q242" i="8"/>
  <c r="P695" i="8"/>
  <c r="Q346" i="8"/>
  <c r="P58" i="13"/>
  <c r="Q753" i="8"/>
  <c r="Q756" i="8"/>
  <c r="Q757" i="8" s="1"/>
  <c r="U171" i="8"/>
  <c r="P534" i="8"/>
  <c r="Q533" i="8" s="1"/>
  <c r="P664" i="8"/>
  <c r="T334" i="8"/>
  <c r="P58" i="14"/>
  <c r="Q831" i="8"/>
  <c r="Q828" i="8"/>
  <c r="R118" i="8"/>
  <c r="R120" i="8" s="1"/>
  <c r="Q121" i="8"/>
  <c r="R116" i="8" s="1"/>
  <c r="P55" i="12"/>
  <c r="Q608" i="8"/>
  <c r="Q609" i="8" s="1"/>
  <c r="Q35" i="12" s="1"/>
  <c r="Q605" i="8"/>
  <c r="P59" i="12"/>
  <c r="Q641" i="8"/>
  <c r="Q644" i="8"/>
  <c r="V126" i="8"/>
  <c r="U248" i="8"/>
  <c r="Q154" i="8"/>
  <c r="P157" i="8"/>
  <c r="Q152" i="8" s="1"/>
  <c r="Q155" i="8" s="1"/>
  <c r="Q540" i="8" s="1"/>
  <c r="Q37" i="11" s="1"/>
  <c r="T293" i="8"/>
  <c r="P63" i="12"/>
  <c r="Q677" i="8"/>
  <c r="P233" i="8"/>
  <c r="U370" i="8"/>
  <c r="T352" i="8"/>
  <c r="P749" i="8"/>
  <c r="P797" i="8"/>
  <c r="V162" i="8"/>
  <c r="Q145" i="8"/>
  <c r="P148" i="8"/>
  <c r="Q143" i="8" s="1"/>
  <c r="Q146" i="8" s="1"/>
  <c r="Q531" i="8" s="1"/>
  <c r="T119" i="8"/>
  <c r="T504" i="8" s="1"/>
  <c r="U117" i="8"/>
  <c r="Q249" i="8"/>
  <c r="P252" i="8"/>
  <c r="Q247" i="8" s="1"/>
  <c r="Q250" i="8" s="1"/>
  <c r="Q634" i="8" s="1"/>
  <c r="Q38" i="12" s="1"/>
  <c r="U180" i="8"/>
  <c r="Q371" i="8"/>
  <c r="P374" i="8"/>
  <c r="Q369" i="8" s="1"/>
  <c r="Q372" i="8" s="1"/>
  <c r="Q755" i="8" s="1"/>
  <c r="P60" i="14"/>
  <c r="Q846" i="8"/>
  <c r="Q849" i="8"/>
  <c r="Q850" i="8" s="1"/>
  <c r="Q40" i="14" s="1"/>
  <c r="R466" i="8"/>
  <c r="Q469" i="8"/>
  <c r="R464" i="8" s="1"/>
  <c r="R467" i="8" s="1"/>
  <c r="R848" i="8" s="1"/>
  <c r="R258" i="8"/>
  <c r="Q261" i="8"/>
  <c r="R256" i="8" s="1"/>
  <c r="R259" i="8" s="1"/>
  <c r="R643" i="8" s="1"/>
  <c r="T214" i="8"/>
  <c r="T598" i="8" s="1"/>
  <c r="U212" i="8"/>
  <c r="P54" i="11"/>
  <c r="Q511" i="8"/>
  <c r="Q514" i="8"/>
  <c r="Q515" i="8" s="1"/>
  <c r="P58" i="11"/>
  <c r="Q550" i="8"/>
  <c r="Q551" i="8" s="1"/>
  <c r="Q38" i="11" s="1"/>
  <c r="Q547" i="8"/>
  <c r="Q267" i="8"/>
  <c r="P270" i="8"/>
  <c r="Q265" i="8" s="1"/>
  <c r="Q268" i="8" s="1"/>
  <c r="Q652" i="8" s="1"/>
  <c r="R308" i="8"/>
  <c r="R310" i="8" s="1"/>
  <c r="Q311" i="8"/>
  <c r="R306" i="8" s="1"/>
  <c r="P722" i="8"/>
  <c r="Q721" i="8"/>
  <c r="T465" i="8"/>
  <c r="Q326" i="8"/>
  <c r="P329" i="8"/>
  <c r="Q324" i="8" s="1"/>
  <c r="Q327" i="8" s="1"/>
  <c r="Q710" i="8" s="1"/>
  <c r="Q35" i="13" s="1"/>
  <c r="P806" i="8"/>
  <c r="Q805" i="8" s="1"/>
  <c r="Q35" i="14" s="1"/>
  <c r="P30" i="11"/>
  <c r="P78" i="11" s="1"/>
  <c r="P87" i="11" s="1"/>
  <c r="D12" i="39" s="1"/>
  <c r="P506" i="8"/>
  <c r="P33" i="11" s="1"/>
  <c r="T257" i="8"/>
  <c r="P655" i="8"/>
  <c r="U404" i="8"/>
  <c r="U785" i="8" s="1"/>
  <c r="V402" i="8"/>
  <c r="U221" i="8"/>
  <c r="U343" i="8"/>
  <c r="P776" i="8"/>
  <c r="Q775" i="8" s="1"/>
  <c r="Q42" i="13" s="1"/>
  <c r="Q37" i="12"/>
  <c r="T447" i="8"/>
  <c r="U153" i="8"/>
  <c r="V325" i="8"/>
  <c r="P601" i="8"/>
  <c r="U135" i="8"/>
  <c r="P561" i="8"/>
  <c r="P53" i="13"/>
  <c r="Q708" i="8"/>
  <c r="Q424" i="8"/>
  <c r="R419" i="8" s="1"/>
  <c r="R422" i="8" s="1"/>
  <c r="R803" i="8" s="1"/>
  <c r="R362" i="8"/>
  <c r="Q365" i="8"/>
  <c r="R360" i="8" s="1"/>
  <c r="R363" i="8" s="1"/>
  <c r="R746" i="8" s="1"/>
  <c r="U198" i="8"/>
  <c r="T266" i="8"/>
  <c r="P36" i="12"/>
  <c r="P48" i="12" s="1"/>
  <c r="P76" i="12" s="1"/>
  <c r="P297" i="8"/>
  <c r="Q292" i="8" s="1"/>
  <c r="Q295" i="8" s="1"/>
  <c r="Q679" i="8" s="1"/>
  <c r="Q43" i="12" s="1"/>
  <c r="P52" i="13"/>
  <c r="Q702" i="8"/>
  <c r="Q703" i="8" s="1"/>
  <c r="Q699" i="8"/>
  <c r="R403" i="8"/>
  <c r="R405" i="8" s="1"/>
  <c r="Q406" i="8"/>
  <c r="R401" i="8" s="1"/>
  <c r="V144" i="8"/>
  <c r="S309" i="8"/>
  <c r="S692" i="8" s="1"/>
  <c r="T307" i="8"/>
  <c r="T239" i="8"/>
  <c r="P53" i="14"/>
  <c r="Q786" i="8"/>
  <c r="Q783" i="8"/>
  <c r="T429" i="8"/>
  <c r="T483" i="8"/>
  <c r="U456" i="8"/>
  <c r="P62" i="14"/>
  <c r="Q864" i="8"/>
  <c r="Q199" i="8"/>
  <c r="P202" i="8"/>
  <c r="Q197" i="8" s="1"/>
  <c r="Q200" i="8" s="1"/>
  <c r="Q585" i="8" s="1"/>
  <c r="R213" i="8"/>
  <c r="R215" i="8" s="1"/>
  <c r="Q216" i="8"/>
  <c r="R211" i="8" s="1"/>
  <c r="U275" i="8"/>
  <c r="Q127" i="8"/>
  <c r="P130" i="8"/>
  <c r="Q125" i="8" s="1"/>
  <c r="Q128" i="8" s="1"/>
  <c r="Q513" i="8" s="1"/>
  <c r="P588" i="8"/>
  <c r="Q587" i="8" s="1"/>
  <c r="S230" i="8"/>
  <c r="R484" i="8"/>
  <c r="Q487" i="8"/>
  <c r="R482" i="8" s="1"/>
  <c r="R485" i="8" s="1"/>
  <c r="R866" i="8" s="1"/>
  <c r="W152" i="34"/>
  <c r="X149" i="34"/>
  <c r="W59" i="34"/>
  <c r="X20" i="34"/>
  <c r="X211" i="34"/>
  <c r="W213" i="34"/>
  <c r="W138" i="34"/>
  <c r="X134" i="34"/>
  <c r="Y203" i="34"/>
  <c r="X233" i="34"/>
  <c r="W235" i="34"/>
  <c r="X104" i="34"/>
  <c r="W107" i="34"/>
  <c r="X162" i="34"/>
  <c r="W165" i="34"/>
  <c r="V225" i="34"/>
  <c r="V226" i="34" s="1"/>
  <c r="V229" i="34" s="1"/>
  <c r="V186" i="34"/>
  <c r="V102" i="34"/>
  <c r="V214" i="34"/>
  <c r="V215" i="34" s="1"/>
  <c r="V218" i="34" s="1"/>
  <c r="X203" i="34"/>
  <c r="W224" i="34"/>
  <c r="Y188" i="34"/>
  <c r="Y191" i="34" s="1"/>
  <c r="X191" i="34"/>
  <c r="V192" i="34"/>
  <c r="V193" i="34" s="1"/>
  <c r="V196" i="34" s="1"/>
  <c r="V236" i="34"/>
  <c r="V237" i="34" s="1"/>
  <c r="V240" i="34" s="1"/>
  <c r="R486" i="8" l="1"/>
  <c r="D30" i="39"/>
  <c r="D47" i="39"/>
  <c r="D47" i="40"/>
  <c r="D30" i="40"/>
  <c r="D47" i="41"/>
  <c r="D30" i="41"/>
  <c r="O66" i="13"/>
  <c r="O74" i="13" s="1"/>
  <c r="C5" i="41"/>
  <c r="C27" i="40"/>
  <c r="C27" i="41"/>
  <c r="C27" i="42"/>
  <c r="C10" i="43"/>
  <c r="C27" i="43" s="1"/>
  <c r="C45" i="43" s="1"/>
  <c r="C27" i="39"/>
  <c r="C48" i="43"/>
  <c r="C31" i="43"/>
  <c r="R423" i="8"/>
  <c r="Q42" i="11"/>
  <c r="Q201" i="8"/>
  <c r="Q296" i="8"/>
  <c r="Q391" i="8"/>
  <c r="P85" i="11"/>
  <c r="D10" i="39" s="1"/>
  <c r="P320" i="8"/>
  <c r="Q315" i="8" s="1"/>
  <c r="Q318" i="8" s="1"/>
  <c r="Q701" i="8" s="1"/>
  <c r="Q34" i="13" s="1"/>
  <c r="Q317" i="8"/>
  <c r="O64" i="11"/>
  <c r="O67" i="11" s="1"/>
  <c r="C5" i="39" s="1"/>
  <c r="Q225" i="8"/>
  <c r="R220" i="8" s="1"/>
  <c r="R223" i="8" s="1"/>
  <c r="R607" i="8" s="1"/>
  <c r="P860" i="8"/>
  <c r="Q859" i="8"/>
  <c r="Q41" i="14" s="1"/>
  <c r="K102" i="38"/>
  <c r="Q99" i="38"/>
  <c r="E102" i="38"/>
  <c r="Q94" i="38"/>
  <c r="K62" i="38"/>
  <c r="Q59" i="38"/>
  <c r="Q75" i="38"/>
  <c r="E83" i="38"/>
  <c r="E62" i="38"/>
  <c r="E64" i="38" s="1"/>
  <c r="E66" i="38" s="1"/>
  <c r="Q199" i="34" s="1"/>
  <c r="Q202" i="34" s="1"/>
  <c r="Q204" i="34" s="1"/>
  <c r="Q207" i="34" s="1"/>
  <c r="Q54" i="38"/>
  <c r="Q42" i="38"/>
  <c r="K43" i="38"/>
  <c r="E38" i="38"/>
  <c r="Q37" i="38"/>
  <c r="K83" i="38"/>
  <c r="Q80" i="38"/>
  <c r="Q451" i="8"/>
  <c r="R446" i="8" s="1"/>
  <c r="R449" i="8" s="1"/>
  <c r="R830" i="8" s="1"/>
  <c r="P442" i="8"/>
  <c r="Q437" i="8" s="1"/>
  <c r="Q440" i="8" s="1"/>
  <c r="Q821" i="8" s="1"/>
  <c r="Q278" i="8"/>
  <c r="Q36" i="13"/>
  <c r="Q40" i="13"/>
  <c r="R430" i="8"/>
  <c r="Q414" i="8"/>
  <c r="R412" i="8" s="1"/>
  <c r="P824" i="8"/>
  <c r="Q739" i="8"/>
  <c r="P740" i="8"/>
  <c r="Q415" i="8"/>
  <c r="R410" i="8" s="1"/>
  <c r="R413" i="8" s="1"/>
  <c r="R794" i="8" s="1"/>
  <c r="Q337" i="8"/>
  <c r="Q36" i="14"/>
  <c r="O64" i="14"/>
  <c r="O66" i="14" s="1"/>
  <c r="Q353" i="8"/>
  <c r="P356" i="8"/>
  <c r="Q351" i="8" s="1"/>
  <c r="Q354" i="8" s="1"/>
  <c r="O65" i="12"/>
  <c r="O67" i="12" s="1"/>
  <c r="W12" i="11"/>
  <c r="V80" i="11"/>
  <c r="V89" i="11" s="1"/>
  <c r="R163" i="8"/>
  <c r="R165" i="8" s="1"/>
  <c r="Q328" i="8"/>
  <c r="Q329" i="8" s="1"/>
  <c r="R324" i="8" s="1"/>
  <c r="R327" i="8" s="1"/>
  <c r="R710" i="8" s="1"/>
  <c r="Q36" i="11"/>
  <c r="Q373" i="8"/>
  <c r="R371" i="8" s="1"/>
  <c r="Q569" i="8"/>
  <c r="P570" i="8"/>
  <c r="P673" i="8"/>
  <c r="Q672" i="8"/>
  <c r="P579" i="8"/>
  <c r="Q578" i="8"/>
  <c r="U284" i="8"/>
  <c r="P767" i="8"/>
  <c r="Q766" i="8"/>
  <c r="U474" i="8"/>
  <c r="P184" i="8"/>
  <c r="Q179" i="8" s="1"/>
  <c r="Q182" i="8" s="1"/>
  <c r="Q567" i="8" s="1"/>
  <c r="Q181" i="8"/>
  <c r="Q285" i="8"/>
  <c r="P288" i="8"/>
  <c r="Q283" i="8" s="1"/>
  <c r="Q286" i="8" s="1"/>
  <c r="Q670" i="8" s="1"/>
  <c r="Q477" i="8"/>
  <c r="Q380" i="8"/>
  <c r="P383" i="8"/>
  <c r="Q378" i="8" s="1"/>
  <c r="Q381" i="8" s="1"/>
  <c r="Q764" i="8" s="1"/>
  <c r="Q41" i="13" s="1"/>
  <c r="P841" i="8"/>
  <c r="P39" i="14" s="1"/>
  <c r="P47" i="14" s="1"/>
  <c r="P76" i="14" s="1"/>
  <c r="P85" i="14" s="1"/>
  <c r="D10" i="42" s="1"/>
  <c r="D27" i="42" s="1"/>
  <c r="P30" i="14"/>
  <c r="P78" i="14" s="1"/>
  <c r="P87" i="14" s="1"/>
  <c r="D12" i="42" s="1"/>
  <c r="T189" i="8"/>
  <c r="Q457" i="8"/>
  <c r="P460" i="8"/>
  <c r="Q455" i="8" s="1"/>
  <c r="Q458" i="8" s="1"/>
  <c r="Q839" i="8" s="1"/>
  <c r="Q190" i="8"/>
  <c r="P193" i="8"/>
  <c r="Q188" i="8" s="1"/>
  <c r="Q191" i="8" s="1"/>
  <c r="Q576" i="8" s="1"/>
  <c r="Q41" i="11" s="1"/>
  <c r="U379" i="8"/>
  <c r="S484" i="8"/>
  <c r="R487" i="8"/>
  <c r="S482" i="8" s="1"/>
  <c r="S485" i="8" s="1"/>
  <c r="S866" i="8" s="1"/>
  <c r="V275" i="8"/>
  <c r="S213" i="8"/>
  <c r="S215" i="8" s="1"/>
  <c r="R216" i="8"/>
  <c r="S211" i="8" s="1"/>
  <c r="U429" i="8"/>
  <c r="Q787" i="8"/>
  <c r="Q33" i="14" s="1"/>
  <c r="Q713" i="8"/>
  <c r="P59" i="11"/>
  <c r="Q559" i="8"/>
  <c r="Q560" i="8" s="1"/>
  <c r="Q39" i="11" s="1"/>
  <c r="Q556" i="8"/>
  <c r="U447" i="8"/>
  <c r="T230" i="8"/>
  <c r="P62" i="11"/>
  <c r="Q583" i="8"/>
  <c r="Q129" i="8"/>
  <c r="Q869" i="8"/>
  <c r="R868" i="8" s="1"/>
  <c r="R42" i="14" s="1"/>
  <c r="V456" i="8"/>
  <c r="U483" i="8"/>
  <c r="U239" i="8"/>
  <c r="U307" i="8"/>
  <c r="T309" i="8"/>
  <c r="T692" i="8" s="1"/>
  <c r="W144" i="8"/>
  <c r="Q704" i="8"/>
  <c r="R294" i="8"/>
  <c r="Q297" i="8"/>
  <c r="R292" i="8" s="1"/>
  <c r="R295" i="8" s="1"/>
  <c r="R679" i="8" s="1"/>
  <c r="U266" i="8"/>
  <c r="R364" i="8"/>
  <c r="S421" i="8"/>
  <c r="R424" i="8"/>
  <c r="S419" i="8" s="1"/>
  <c r="S422" i="8" s="1"/>
  <c r="S803" i="8" s="1"/>
  <c r="R450" i="8"/>
  <c r="V135" i="8"/>
  <c r="P54" i="12"/>
  <c r="Q596" i="8"/>
  <c r="Q599" i="8"/>
  <c r="W325" i="8"/>
  <c r="V153" i="8"/>
  <c r="V343" i="8"/>
  <c r="V221" i="8"/>
  <c r="W402" i="8"/>
  <c r="V404" i="8"/>
  <c r="V785" i="8" s="1"/>
  <c r="U257" i="8"/>
  <c r="U465" i="8"/>
  <c r="P54" i="13"/>
  <c r="Q717" i="8"/>
  <c r="S308" i="8"/>
  <c r="S310" i="8" s="1"/>
  <c r="R311" i="8"/>
  <c r="S306" i="8" s="1"/>
  <c r="Q269" i="8"/>
  <c r="R260" i="8"/>
  <c r="R468" i="8"/>
  <c r="Q851" i="8"/>
  <c r="Q251" i="8"/>
  <c r="R432" i="8"/>
  <c r="Q147" i="8"/>
  <c r="W162" i="8"/>
  <c r="P54" i="14"/>
  <c r="Q795" i="8"/>
  <c r="Q796" i="8" s="1"/>
  <c r="Q34" i="14" s="1"/>
  <c r="Q792" i="8"/>
  <c r="P57" i="13"/>
  <c r="Q744" i="8"/>
  <c r="Q747" i="8"/>
  <c r="Q748" i="8" s="1"/>
  <c r="Q39" i="13" s="1"/>
  <c r="V370" i="8"/>
  <c r="Q682" i="8"/>
  <c r="R681" i="8" s="1"/>
  <c r="U293" i="8"/>
  <c r="Q156" i="8"/>
  <c r="W126" i="8"/>
  <c r="Q833" i="8"/>
  <c r="R832" i="8"/>
  <c r="R38" i="14" s="1"/>
  <c r="U334" i="8"/>
  <c r="P56" i="11"/>
  <c r="Q529" i="8"/>
  <c r="R335" i="8"/>
  <c r="Q338" i="8"/>
  <c r="R333" i="8" s="1"/>
  <c r="R336" i="8" s="1"/>
  <c r="R719" i="8" s="1"/>
  <c r="R276" i="8"/>
  <c r="Q279" i="8"/>
  <c r="R172" i="8"/>
  <c r="Q175" i="8"/>
  <c r="R170" i="8" s="1"/>
  <c r="R173" i="8" s="1"/>
  <c r="R558" i="8" s="1"/>
  <c r="P619" i="8"/>
  <c r="Q618" i="8" s="1"/>
  <c r="R136" i="8"/>
  <c r="Q139" i="8"/>
  <c r="R134" i="8" s="1"/>
  <c r="R137" i="8" s="1"/>
  <c r="R522" i="8" s="1"/>
  <c r="Q815" i="8"/>
  <c r="R814" i="8"/>
  <c r="R36" i="14" s="1"/>
  <c r="P55" i="13"/>
  <c r="Q726" i="8"/>
  <c r="V420" i="8"/>
  <c r="Q637" i="8"/>
  <c r="R636" i="8" s="1"/>
  <c r="Q543" i="8"/>
  <c r="R542" i="8" s="1"/>
  <c r="W388" i="8"/>
  <c r="Q34" i="11"/>
  <c r="R199" i="8"/>
  <c r="Q202" i="8"/>
  <c r="R197" i="8" s="1"/>
  <c r="R200" i="8" s="1"/>
  <c r="R585" i="8" s="1"/>
  <c r="S403" i="8"/>
  <c r="S405" i="8" s="1"/>
  <c r="R406" i="8"/>
  <c r="S401" i="8" s="1"/>
  <c r="P85" i="12"/>
  <c r="D10" i="40" s="1"/>
  <c r="D27" i="40" s="1"/>
  <c r="D45" i="40" s="1"/>
  <c r="V198" i="8"/>
  <c r="P60" i="13"/>
  <c r="Q771" i="8"/>
  <c r="P60" i="12"/>
  <c r="Q650" i="8"/>
  <c r="Q653" i="8"/>
  <c r="Q654" i="8" s="1"/>
  <c r="Q40" i="12" s="1"/>
  <c r="P55" i="14"/>
  <c r="Q801" i="8"/>
  <c r="R326" i="8"/>
  <c r="R328" i="8" s="1"/>
  <c r="Q552" i="8"/>
  <c r="Q516" i="8"/>
  <c r="V212" i="8"/>
  <c r="U214" i="8"/>
  <c r="U598" i="8" s="1"/>
  <c r="V180" i="8"/>
  <c r="V117" i="8"/>
  <c r="U119" i="8"/>
  <c r="U504" i="8" s="1"/>
  <c r="U352" i="8"/>
  <c r="Q231" i="8"/>
  <c r="P234" i="8"/>
  <c r="Q229" i="8" s="1"/>
  <c r="Q232" i="8" s="1"/>
  <c r="Q616" i="8" s="1"/>
  <c r="V248" i="8"/>
  <c r="Q646" i="8"/>
  <c r="R645" i="8"/>
  <c r="Q610" i="8"/>
  <c r="S118" i="8"/>
  <c r="S120" i="8" s="1"/>
  <c r="R121" i="8"/>
  <c r="S116" i="8" s="1"/>
  <c r="P61" i="12"/>
  <c r="Q659" i="8"/>
  <c r="Q662" i="8"/>
  <c r="Q663" i="8" s="1"/>
  <c r="Q41" i="12" s="1"/>
  <c r="V171" i="8"/>
  <c r="Q758" i="8"/>
  <c r="R344" i="8"/>
  <c r="Q347" i="8"/>
  <c r="R342" i="8" s="1"/>
  <c r="R345" i="8" s="1"/>
  <c r="R728" i="8" s="1"/>
  <c r="P51" i="13"/>
  <c r="Q690" i="8"/>
  <c r="Q693" i="8"/>
  <c r="R240" i="8"/>
  <c r="Q243" i="8"/>
  <c r="R238" i="8" s="1"/>
  <c r="R241" i="8" s="1"/>
  <c r="R625" i="8" s="1"/>
  <c r="U361" i="8"/>
  <c r="P55" i="11"/>
  <c r="Q520" i="8"/>
  <c r="P507" i="8"/>
  <c r="U411" i="8"/>
  <c r="U438" i="8"/>
  <c r="P57" i="12"/>
  <c r="Q623" i="8"/>
  <c r="O83" i="13"/>
  <c r="O86" i="13" s="1"/>
  <c r="O77" i="13"/>
  <c r="X165" i="34"/>
  <c r="Y162" i="34"/>
  <c r="Y165" i="34" s="1"/>
  <c r="X107" i="34"/>
  <c r="Y104" i="34"/>
  <c r="Y107" i="34" s="1"/>
  <c r="X235" i="34"/>
  <c r="Y233" i="34"/>
  <c r="Y235" i="34" s="1"/>
  <c r="W214" i="34"/>
  <c r="W215" i="34" s="1"/>
  <c r="W218" i="34" s="1"/>
  <c r="X213" i="34"/>
  <c r="Y211" i="34"/>
  <c r="Y213" i="34" s="1"/>
  <c r="W186" i="34"/>
  <c r="W102" i="34"/>
  <c r="W225" i="34"/>
  <c r="W226" i="34" s="1"/>
  <c r="W229" i="34" s="1"/>
  <c r="X224" i="34"/>
  <c r="Y224" i="34"/>
  <c r="W236" i="34"/>
  <c r="W237" i="34" s="1"/>
  <c r="W240" i="34" s="1"/>
  <c r="W192" i="34"/>
  <c r="W193" i="34" s="1"/>
  <c r="W196" i="34" s="1"/>
  <c r="X138" i="34"/>
  <c r="Y134" i="34"/>
  <c r="Y138" i="34" s="1"/>
  <c r="X59" i="34"/>
  <c r="Y20" i="34"/>
  <c r="Y59" i="34" s="1"/>
  <c r="X152" i="34"/>
  <c r="Y149" i="34"/>
  <c r="Y152" i="34" s="1"/>
  <c r="R201" i="8" l="1"/>
  <c r="S486" i="8"/>
  <c r="D47" i="42"/>
  <c r="D30" i="42"/>
  <c r="D45" i="42"/>
  <c r="O69" i="12"/>
  <c r="O77" i="12" s="1"/>
  <c r="C5" i="40"/>
  <c r="O68" i="14"/>
  <c r="O77" i="14" s="1"/>
  <c r="O86" i="14" s="1"/>
  <c r="O89" i="14" s="1"/>
  <c r="C5" i="42"/>
  <c r="C5" i="43"/>
  <c r="C22" i="39"/>
  <c r="C7" i="39"/>
  <c r="C11" i="39" s="1"/>
  <c r="C15" i="39" s="1"/>
  <c r="D10" i="43"/>
  <c r="D27" i="43" s="1"/>
  <c r="D45" i="43" s="1"/>
  <c r="D27" i="39"/>
  <c r="C45" i="39"/>
  <c r="C45" i="42"/>
  <c r="C45" i="41"/>
  <c r="C45" i="40"/>
  <c r="C7" i="41"/>
  <c r="C11" i="41" s="1"/>
  <c r="C15" i="41" s="1"/>
  <c r="C22" i="41"/>
  <c r="D12" i="43"/>
  <c r="R138" i="8"/>
  <c r="R43" i="12"/>
  <c r="S423" i="8"/>
  <c r="R296" i="8"/>
  <c r="R224" i="8"/>
  <c r="R389" i="8"/>
  <c r="Q392" i="8"/>
  <c r="R387" i="8" s="1"/>
  <c r="R390" i="8" s="1"/>
  <c r="R773" i="8" s="1"/>
  <c r="R274" i="8"/>
  <c r="R277" i="8" s="1"/>
  <c r="Q319" i="8"/>
  <c r="Q320" i="8" s="1"/>
  <c r="R315" i="8" s="1"/>
  <c r="R318" i="8" s="1"/>
  <c r="R701" i="8" s="1"/>
  <c r="P61" i="14"/>
  <c r="Q855" i="8"/>
  <c r="Q858" i="8"/>
  <c r="E104" i="38"/>
  <c r="E106" i="38" s="1"/>
  <c r="Q233" i="34" s="1"/>
  <c r="Q235" i="34" s="1"/>
  <c r="Q237" i="34" s="1"/>
  <c r="Q240" i="34" s="1"/>
  <c r="N241" i="34" s="1"/>
  <c r="E85" i="38"/>
  <c r="E87" i="38" s="1"/>
  <c r="Q222" i="34" s="1"/>
  <c r="Q224" i="34" s="1"/>
  <c r="Q226" i="34" s="1"/>
  <c r="Q229" i="34" s="1"/>
  <c r="N230" i="34" s="1"/>
  <c r="Q102" i="38"/>
  <c r="Q62" i="38"/>
  <c r="Q83" i="38"/>
  <c r="K46" i="38"/>
  <c r="Q43" i="38"/>
  <c r="E46" i="38"/>
  <c r="Q38" i="38"/>
  <c r="Q823" i="8"/>
  <c r="Q819" i="8"/>
  <c r="P57" i="14"/>
  <c r="Q441" i="8"/>
  <c r="R439" i="8" s="1"/>
  <c r="Q37" i="14"/>
  <c r="O80" i="14"/>
  <c r="Q40" i="11"/>
  <c r="Q47" i="11" s="1"/>
  <c r="Q76" i="11" s="1"/>
  <c r="Q355" i="8"/>
  <c r="Q737" i="8"/>
  <c r="Q38" i="13" s="1"/>
  <c r="Q47" i="13" s="1"/>
  <c r="Q73" i="13" s="1"/>
  <c r="Q82" i="13" s="1"/>
  <c r="E10" i="41" s="1"/>
  <c r="E27" i="41" s="1"/>
  <c r="Q735" i="8"/>
  <c r="P56" i="13"/>
  <c r="P62" i="13" s="1"/>
  <c r="P64" i="13" s="1"/>
  <c r="Q738" i="8"/>
  <c r="Q374" i="8"/>
  <c r="R369" i="8" s="1"/>
  <c r="R372" i="8" s="1"/>
  <c r="R755" i="8" s="1"/>
  <c r="R414" i="8"/>
  <c r="Q42" i="12"/>
  <c r="W80" i="11"/>
  <c r="W89" i="11" s="1"/>
  <c r="X12" i="11"/>
  <c r="Q788" i="8"/>
  <c r="Q53" i="14" s="1"/>
  <c r="Q192" i="8"/>
  <c r="Q193" i="8" s="1"/>
  <c r="R188" i="8" s="1"/>
  <c r="R191" i="8" s="1"/>
  <c r="R576" i="8" s="1"/>
  <c r="Q459" i="8"/>
  <c r="R457" i="8" s="1"/>
  <c r="P842" i="8"/>
  <c r="Q840" i="8" s="1"/>
  <c r="Q382" i="8"/>
  <c r="Q383" i="8" s="1"/>
  <c r="R378" i="8" s="1"/>
  <c r="R381" i="8" s="1"/>
  <c r="R764" i="8" s="1"/>
  <c r="Q183" i="8"/>
  <c r="R346" i="8"/>
  <c r="R347" i="8" s="1"/>
  <c r="S342" i="8" s="1"/>
  <c r="S345" i="8" s="1"/>
  <c r="S728" i="8" s="1"/>
  <c r="Q36" i="12"/>
  <c r="R242" i="8"/>
  <c r="R243" i="8" s="1"/>
  <c r="S238" i="8" s="1"/>
  <c r="S241" i="8" s="1"/>
  <c r="S625" i="8" s="1"/>
  <c r="V379" i="8"/>
  <c r="R475" i="8"/>
  <c r="Q478" i="8"/>
  <c r="R473" i="8" s="1"/>
  <c r="R476" i="8" s="1"/>
  <c r="R857" i="8" s="1"/>
  <c r="Q287" i="8"/>
  <c r="V474" i="8"/>
  <c r="Q574" i="8"/>
  <c r="P61" i="11"/>
  <c r="Q668" i="8"/>
  <c r="P62" i="12"/>
  <c r="Q671" i="8"/>
  <c r="Q31" i="12" s="1"/>
  <c r="Q78" i="12" s="1"/>
  <c r="Q87" i="12" s="1"/>
  <c r="E12" i="40" s="1"/>
  <c r="U189" i="8"/>
  <c r="Q762" i="8"/>
  <c r="Q765" i="8"/>
  <c r="Q30" i="13" s="1"/>
  <c r="Q75" i="13" s="1"/>
  <c r="Q84" i="13" s="1"/>
  <c r="E12" i="41" s="1"/>
  <c r="V284" i="8"/>
  <c r="P60" i="11"/>
  <c r="Q565" i="8"/>
  <c r="O44" i="34"/>
  <c r="P53" i="11"/>
  <c r="Q502" i="8"/>
  <c r="Q505" i="8"/>
  <c r="Q30" i="11" s="1"/>
  <c r="Q78" i="11" s="1"/>
  <c r="Q87" i="11" s="1"/>
  <c r="E12" i="39" s="1"/>
  <c r="V361" i="8"/>
  <c r="S344" i="8"/>
  <c r="V438" i="8"/>
  <c r="V411" i="8"/>
  <c r="O69" i="11"/>
  <c r="Q525" i="8"/>
  <c r="Q694" i="8"/>
  <c r="Q33" i="13" s="1"/>
  <c r="W171" i="8"/>
  <c r="T118" i="8"/>
  <c r="T120" i="8" s="1"/>
  <c r="S121" i="8"/>
  <c r="T116" i="8" s="1"/>
  <c r="Q55" i="12"/>
  <c r="R605" i="8"/>
  <c r="R608" i="8"/>
  <c r="R609" i="8" s="1"/>
  <c r="R35" i="12" s="1"/>
  <c r="Q59" i="12"/>
  <c r="R644" i="8"/>
  <c r="R641" i="8"/>
  <c r="Q233" i="8"/>
  <c r="V352" i="8"/>
  <c r="V119" i="8"/>
  <c r="V504" i="8" s="1"/>
  <c r="W117" i="8"/>
  <c r="W180" i="8"/>
  <c r="V214" i="8"/>
  <c r="V598" i="8" s="1"/>
  <c r="W212" i="8"/>
  <c r="Q54" i="11"/>
  <c r="R514" i="8"/>
  <c r="R515" i="8" s="1"/>
  <c r="R511" i="8"/>
  <c r="Q58" i="11"/>
  <c r="R547" i="8"/>
  <c r="R550" i="8"/>
  <c r="R551" i="8" s="1"/>
  <c r="R38" i="11" s="1"/>
  <c r="Q806" i="8"/>
  <c r="R805" i="8" s="1"/>
  <c r="R35" i="14" s="1"/>
  <c r="Q776" i="8"/>
  <c r="R775" i="8" s="1"/>
  <c r="R42" i="13" s="1"/>
  <c r="S199" i="8"/>
  <c r="R202" i="8"/>
  <c r="S197" i="8" s="1"/>
  <c r="S200" i="8" s="1"/>
  <c r="S585" i="8" s="1"/>
  <c r="Q58" i="12"/>
  <c r="R632" i="8"/>
  <c r="W420" i="8"/>
  <c r="Q56" i="14"/>
  <c r="R810" i="8"/>
  <c r="S136" i="8"/>
  <c r="R139" i="8"/>
  <c r="S134" i="8" s="1"/>
  <c r="S137" i="8" s="1"/>
  <c r="S522" i="8" s="1"/>
  <c r="P56" i="12"/>
  <c r="Q614" i="8"/>
  <c r="R174" i="8"/>
  <c r="R337" i="8"/>
  <c r="V334" i="8"/>
  <c r="Q58" i="14"/>
  <c r="R831" i="8"/>
  <c r="R828" i="8"/>
  <c r="R154" i="8"/>
  <c r="Q157" i="8"/>
  <c r="R152" i="8" s="1"/>
  <c r="R155" i="8" s="1"/>
  <c r="R540" i="8" s="1"/>
  <c r="R37" i="11" s="1"/>
  <c r="W370" i="8"/>
  <c r="Q749" i="8"/>
  <c r="Q797" i="8"/>
  <c r="R145" i="8"/>
  <c r="Q148" i="8"/>
  <c r="R143" i="8" s="1"/>
  <c r="R146" i="8" s="1"/>
  <c r="R531" i="8" s="1"/>
  <c r="S258" i="8"/>
  <c r="R261" i="8"/>
  <c r="S256" i="8" s="1"/>
  <c r="S259" i="8" s="1"/>
  <c r="S643" i="8" s="1"/>
  <c r="Q722" i="8"/>
  <c r="R721" i="8"/>
  <c r="R36" i="13" s="1"/>
  <c r="V465" i="8"/>
  <c r="W221" i="8"/>
  <c r="X325" i="8"/>
  <c r="O86" i="12"/>
  <c r="O89" i="12" s="1"/>
  <c r="O80" i="12"/>
  <c r="W135" i="8"/>
  <c r="S448" i="8"/>
  <c r="R451" i="8"/>
  <c r="S446" i="8" s="1"/>
  <c r="S449" i="8" s="1"/>
  <c r="S830" i="8" s="1"/>
  <c r="S362" i="8"/>
  <c r="R365" i="8"/>
  <c r="S360" i="8" s="1"/>
  <c r="S363" i="8" s="1"/>
  <c r="S746" i="8" s="1"/>
  <c r="V266" i="8"/>
  <c r="S294" i="8"/>
  <c r="R297" i="8"/>
  <c r="S292" i="8" s="1"/>
  <c r="S295" i="8" s="1"/>
  <c r="S679" i="8" s="1"/>
  <c r="Q52" i="13"/>
  <c r="R699" i="8"/>
  <c r="R702" i="8"/>
  <c r="R703" i="8" s="1"/>
  <c r="U309" i="8"/>
  <c r="U692" i="8" s="1"/>
  <c r="V307" i="8"/>
  <c r="V239" i="8"/>
  <c r="V483" i="8"/>
  <c r="W456" i="8"/>
  <c r="Q62" i="14"/>
  <c r="R864" i="8"/>
  <c r="Q588" i="8"/>
  <c r="U230" i="8"/>
  <c r="V447" i="8"/>
  <c r="Q53" i="13"/>
  <c r="R708" i="8"/>
  <c r="V429" i="8"/>
  <c r="W275" i="8"/>
  <c r="T484" i="8"/>
  <c r="S487" i="8"/>
  <c r="T482" i="8" s="1"/>
  <c r="T485" i="8" s="1"/>
  <c r="T866" i="8" s="1"/>
  <c r="O43" i="34"/>
  <c r="Q628" i="8"/>
  <c r="R627" i="8"/>
  <c r="R37" i="12" s="1"/>
  <c r="Q58" i="13"/>
  <c r="R756" i="8"/>
  <c r="R757" i="8" s="1"/>
  <c r="R40" i="13" s="1"/>
  <c r="R753" i="8"/>
  <c r="Q664" i="8"/>
  <c r="W248" i="8"/>
  <c r="S326" i="8"/>
  <c r="R329" i="8"/>
  <c r="S324" i="8" s="1"/>
  <c r="S327" i="8" s="1"/>
  <c r="S710" i="8" s="1"/>
  <c r="Q655" i="8"/>
  <c r="W198" i="8"/>
  <c r="T403" i="8"/>
  <c r="T405" i="8" s="1"/>
  <c r="S406" i="8"/>
  <c r="T401" i="8" s="1"/>
  <c r="X388" i="8"/>
  <c r="Q57" i="11"/>
  <c r="R538" i="8"/>
  <c r="Q731" i="8"/>
  <c r="R730" i="8" s="1"/>
  <c r="R37" i="13" s="1"/>
  <c r="Q534" i="8"/>
  <c r="R533" i="8" s="1"/>
  <c r="S163" i="8"/>
  <c r="R166" i="8"/>
  <c r="S161" i="8" s="1"/>
  <c r="S164" i="8" s="1"/>
  <c r="S549" i="8" s="1"/>
  <c r="X126" i="8"/>
  <c r="V293" i="8"/>
  <c r="Q63" i="12"/>
  <c r="R677" i="8"/>
  <c r="X162" i="8"/>
  <c r="S430" i="8"/>
  <c r="R433" i="8"/>
  <c r="S428" i="8" s="1"/>
  <c r="S431" i="8" s="1"/>
  <c r="S812" i="8" s="1"/>
  <c r="R249" i="8"/>
  <c r="Q252" i="8"/>
  <c r="R247" i="8" s="1"/>
  <c r="R250" i="8" s="1"/>
  <c r="R634" i="8" s="1"/>
  <c r="R38" i="12" s="1"/>
  <c r="Q60" i="14"/>
  <c r="R849" i="8"/>
  <c r="R850" i="8" s="1"/>
  <c r="R40" i="14" s="1"/>
  <c r="R846" i="8"/>
  <c r="S466" i="8"/>
  <c r="R469" i="8"/>
  <c r="S464" i="8" s="1"/>
  <c r="S467" i="8" s="1"/>
  <c r="S848" i="8" s="1"/>
  <c r="R267" i="8"/>
  <c r="Q270" i="8"/>
  <c r="R265" i="8" s="1"/>
  <c r="R268" i="8" s="1"/>
  <c r="R652" i="8" s="1"/>
  <c r="T308" i="8"/>
  <c r="T310" i="8" s="1"/>
  <c r="S311" i="8"/>
  <c r="T306" i="8" s="1"/>
  <c r="V257" i="8"/>
  <c r="W404" i="8"/>
  <c r="W785" i="8" s="1"/>
  <c r="X402" i="8"/>
  <c r="W343" i="8"/>
  <c r="W153" i="8"/>
  <c r="Q600" i="8"/>
  <c r="Q34" i="12" s="1"/>
  <c r="S412" i="8"/>
  <c r="R415" i="8"/>
  <c r="S410" i="8" s="1"/>
  <c r="S413" i="8" s="1"/>
  <c r="S794" i="8" s="1"/>
  <c r="T421" i="8"/>
  <c r="S424" i="8"/>
  <c r="T419" i="8" s="1"/>
  <c r="T422" i="8" s="1"/>
  <c r="T803" i="8" s="1"/>
  <c r="X144" i="8"/>
  <c r="R127" i="8"/>
  <c r="Q130" i="8"/>
  <c r="R125" i="8" s="1"/>
  <c r="R128" i="8" s="1"/>
  <c r="R513" i="8" s="1"/>
  <c r="Q561" i="8"/>
  <c r="R712" i="8"/>
  <c r="R35" i="13" s="1"/>
  <c r="T213" i="8"/>
  <c r="T215" i="8" s="1"/>
  <c r="S216" i="8"/>
  <c r="T211" i="8" s="1"/>
  <c r="Y225" i="34"/>
  <c r="Y226" i="34" s="1"/>
  <c r="Y229" i="34" s="1"/>
  <c r="Y186" i="34"/>
  <c r="Y102" i="34"/>
  <c r="X214" i="34"/>
  <c r="X215" i="34" s="1"/>
  <c r="X218" i="34" s="1"/>
  <c r="X192" i="34"/>
  <c r="X193" i="34" s="1"/>
  <c r="X196" i="34" s="1"/>
  <c r="X236" i="34"/>
  <c r="X237" i="34" s="1"/>
  <c r="X240" i="34" s="1"/>
  <c r="X225" i="34"/>
  <c r="X226" i="34" s="1"/>
  <c r="X229" i="34" s="1"/>
  <c r="X186" i="34"/>
  <c r="X102" i="34"/>
  <c r="Y214" i="34"/>
  <c r="Y215" i="34" s="1"/>
  <c r="Y218" i="34" s="1"/>
  <c r="Y192" i="34"/>
  <c r="Y193" i="34" s="1"/>
  <c r="Y196" i="34" s="1"/>
  <c r="Y236" i="34"/>
  <c r="Y237" i="34" s="1"/>
  <c r="Y240" i="34" s="1"/>
  <c r="T423" i="8" l="1"/>
  <c r="S296" i="8"/>
  <c r="S138" i="8"/>
  <c r="S201" i="8"/>
  <c r="E30" i="39"/>
  <c r="E47" i="39"/>
  <c r="E47" i="41"/>
  <c r="E30" i="41"/>
  <c r="E47" i="40"/>
  <c r="E30" i="40"/>
  <c r="P66" i="13"/>
  <c r="P74" i="13" s="1"/>
  <c r="D5" i="41"/>
  <c r="E45" i="41"/>
  <c r="D47" i="43"/>
  <c r="D30" i="43"/>
  <c r="C40" i="41"/>
  <c r="C42" i="41" s="1"/>
  <c r="C46" i="41" s="1"/>
  <c r="C50" i="41" s="1"/>
  <c r="C24" i="41"/>
  <c r="C28" i="41" s="1"/>
  <c r="D45" i="39"/>
  <c r="C24" i="39"/>
  <c r="C28" i="39" s="1"/>
  <c r="C40" i="39"/>
  <c r="C42" i="39" s="1"/>
  <c r="C46" i="39" s="1"/>
  <c r="C50" i="39" s="1"/>
  <c r="C7" i="43"/>
  <c r="C11" i="43" s="1"/>
  <c r="C15" i="43" s="1"/>
  <c r="C22" i="43"/>
  <c r="C7" i="42"/>
  <c r="C11" i="42" s="1"/>
  <c r="C15" i="42" s="1"/>
  <c r="C22" i="42"/>
  <c r="C7" i="40"/>
  <c r="C11" i="40" s="1"/>
  <c r="C15" i="40" s="1"/>
  <c r="C22" i="40"/>
  <c r="R661" i="8"/>
  <c r="R278" i="8"/>
  <c r="R391" i="8"/>
  <c r="S389" i="8" s="1"/>
  <c r="S328" i="8"/>
  <c r="S222" i="8"/>
  <c r="R225" i="8"/>
  <c r="S220" i="8" s="1"/>
  <c r="S223" i="8" s="1"/>
  <c r="S607" i="8" s="1"/>
  <c r="T486" i="8"/>
  <c r="R392" i="8"/>
  <c r="S387" i="8" s="1"/>
  <c r="S390" i="8" s="1"/>
  <c r="S773" i="8" s="1"/>
  <c r="Q85" i="11"/>
  <c r="E10" i="39" s="1"/>
  <c r="R317" i="8"/>
  <c r="R34" i="13"/>
  <c r="R319" i="8"/>
  <c r="R190" i="8"/>
  <c r="R859" i="8"/>
  <c r="R41" i="14" s="1"/>
  <c r="Q860" i="8"/>
  <c r="Q442" i="8"/>
  <c r="R437" i="8" s="1"/>
  <c r="R440" i="8" s="1"/>
  <c r="R821" i="8" s="1"/>
  <c r="Q46" i="38"/>
  <c r="E48" i="38"/>
  <c r="E50" i="38" s="1"/>
  <c r="Q188" i="34" s="1"/>
  <c r="Q824" i="8"/>
  <c r="R441" i="8"/>
  <c r="S439" i="8" s="1"/>
  <c r="R819" i="8"/>
  <c r="R373" i="8"/>
  <c r="R374" i="8" s="1"/>
  <c r="S369" i="8" s="1"/>
  <c r="S372" i="8" s="1"/>
  <c r="S755" i="8" s="1"/>
  <c r="P65" i="12"/>
  <c r="R353" i="8"/>
  <c r="Q356" i="8"/>
  <c r="R351" i="8" s="1"/>
  <c r="R354" i="8" s="1"/>
  <c r="R737" i="8" s="1"/>
  <c r="R442" i="8"/>
  <c r="S437" i="8" s="1"/>
  <c r="S440" i="8" s="1"/>
  <c r="S821" i="8" s="1"/>
  <c r="Q837" i="8"/>
  <c r="R34" i="11"/>
  <c r="P59" i="14"/>
  <c r="P64" i="14" s="1"/>
  <c r="P66" i="14" s="1"/>
  <c r="Q48" i="12"/>
  <c r="Q76" i="12" s="1"/>
  <c r="Q85" i="12" s="1"/>
  <c r="E10" i="40" s="1"/>
  <c r="E27" i="40" s="1"/>
  <c r="Q740" i="8"/>
  <c r="R739" i="8"/>
  <c r="X80" i="11"/>
  <c r="X89" i="11" s="1"/>
  <c r="Y12" i="11"/>
  <c r="Y80" i="11" s="1"/>
  <c r="Y89" i="11" s="1"/>
  <c r="R783" i="8"/>
  <c r="S240" i="8"/>
  <c r="S242" i="8" s="1"/>
  <c r="R380" i="8"/>
  <c r="R786" i="8"/>
  <c r="R787" i="8" s="1"/>
  <c r="R33" i="14" s="1"/>
  <c r="Q460" i="8"/>
  <c r="R455" i="8" s="1"/>
  <c r="R458" i="8" s="1"/>
  <c r="R839" i="8" s="1"/>
  <c r="Q841" i="8"/>
  <c r="Q39" i="14" s="1"/>
  <c r="Q47" i="14" s="1"/>
  <c r="Q76" i="14" s="1"/>
  <c r="Q85" i="14" s="1"/>
  <c r="E10" i="42" s="1"/>
  <c r="E27" i="42" s="1"/>
  <c r="Q30" i="14"/>
  <c r="Q78" i="14" s="1"/>
  <c r="Q87" i="14" s="1"/>
  <c r="E12" i="42" s="1"/>
  <c r="Q506" i="8"/>
  <c r="Q33" i="11" s="1"/>
  <c r="Q184" i="8"/>
  <c r="R179" i="8" s="1"/>
  <c r="R182" i="8" s="1"/>
  <c r="R567" i="8" s="1"/>
  <c r="R181" i="8"/>
  <c r="R129" i="8"/>
  <c r="R130" i="8" s="1"/>
  <c r="S125" i="8" s="1"/>
  <c r="S128" i="8" s="1"/>
  <c r="S513" i="8" s="1"/>
  <c r="R192" i="8"/>
  <c r="R193" i="8" s="1"/>
  <c r="S188" i="8" s="1"/>
  <c r="S191" i="8" s="1"/>
  <c r="S576" i="8" s="1"/>
  <c r="R251" i="8"/>
  <c r="S249" i="8" s="1"/>
  <c r="Q695" i="8"/>
  <c r="R693" i="8" s="1"/>
  <c r="P64" i="11"/>
  <c r="P67" i="11" s="1"/>
  <c r="D5" i="39" s="1"/>
  <c r="R569" i="8"/>
  <c r="Q570" i="8"/>
  <c r="W284" i="8"/>
  <c r="Q767" i="8"/>
  <c r="R766" i="8"/>
  <c r="R41" i="13" s="1"/>
  <c r="R382" i="8"/>
  <c r="V189" i="8"/>
  <c r="Q673" i="8"/>
  <c r="R672" i="8"/>
  <c r="Q579" i="8"/>
  <c r="R578" i="8"/>
  <c r="R41" i="11" s="1"/>
  <c r="R285" i="8"/>
  <c r="Q288" i="8"/>
  <c r="R283" i="8" s="1"/>
  <c r="R286" i="8" s="1"/>
  <c r="R670" i="8" s="1"/>
  <c r="R42" i="12" s="1"/>
  <c r="R477" i="8"/>
  <c r="W474" i="8"/>
  <c r="W379" i="8"/>
  <c r="P67" i="12"/>
  <c r="X343" i="8"/>
  <c r="R851" i="8"/>
  <c r="Y162" i="8"/>
  <c r="U403" i="8"/>
  <c r="U405" i="8" s="1"/>
  <c r="T406" i="8"/>
  <c r="U401" i="8" s="1"/>
  <c r="X198" i="8"/>
  <c r="X248" i="8"/>
  <c r="Q61" i="12"/>
  <c r="R662" i="8"/>
  <c r="R663" i="8" s="1"/>
  <c r="R659" i="8"/>
  <c r="O86" i="34"/>
  <c r="O88" i="34" s="1"/>
  <c r="O153" i="34"/>
  <c r="O154" i="34" s="1"/>
  <c r="O157" i="34" s="1"/>
  <c r="X275" i="8"/>
  <c r="V230" i="8"/>
  <c r="Q62" i="11"/>
  <c r="R583" i="8"/>
  <c r="X456" i="8"/>
  <c r="W483" i="8"/>
  <c r="W239" i="8"/>
  <c r="W307" i="8"/>
  <c r="V309" i="8"/>
  <c r="V692" i="8" s="1"/>
  <c r="T294" i="8"/>
  <c r="S297" i="8"/>
  <c r="T292" i="8" s="1"/>
  <c r="T295" i="8" s="1"/>
  <c r="T679" i="8" s="1"/>
  <c r="X135" i="8"/>
  <c r="Y325" i="8"/>
  <c r="R36" i="11"/>
  <c r="X370" i="8"/>
  <c r="R833" i="8"/>
  <c r="S832" i="8"/>
  <c r="S38" i="14" s="1"/>
  <c r="W334" i="8"/>
  <c r="S335" i="8"/>
  <c r="R338" i="8"/>
  <c r="S333" i="8" s="1"/>
  <c r="S336" i="8" s="1"/>
  <c r="S719" i="8" s="1"/>
  <c r="S172" i="8"/>
  <c r="R175" i="8"/>
  <c r="S170" i="8" s="1"/>
  <c r="S173" i="8" s="1"/>
  <c r="S558" i="8" s="1"/>
  <c r="T136" i="8"/>
  <c r="S139" i="8"/>
  <c r="T134" i="8" s="1"/>
  <c r="T137" i="8" s="1"/>
  <c r="T522" i="8" s="1"/>
  <c r="T199" i="8"/>
  <c r="S202" i="8"/>
  <c r="T197" i="8" s="1"/>
  <c r="T200" i="8" s="1"/>
  <c r="T585" i="8" s="1"/>
  <c r="X212" i="8"/>
  <c r="W214" i="8"/>
  <c r="W598" i="8" s="1"/>
  <c r="S371" i="8"/>
  <c r="X180" i="8"/>
  <c r="X117" i="8"/>
  <c r="W119" i="8"/>
  <c r="W504" i="8" s="1"/>
  <c r="R231" i="8"/>
  <c r="Q234" i="8"/>
  <c r="R229" i="8" s="1"/>
  <c r="R232" i="8" s="1"/>
  <c r="R616" i="8" s="1"/>
  <c r="U118" i="8"/>
  <c r="U120" i="8" s="1"/>
  <c r="T121" i="8"/>
  <c r="U116" i="8" s="1"/>
  <c r="R690" i="8"/>
  <c r="Q55" i="11"/>
  <c r="R520" i="8"/>
  <c r="O77" i="11"/>
  <c r="P83" i="13"/>
  <c r="P86" i="13" s="1"/>
  <c r="P77" i="13"/>
  <c r="W361" i="8"/>
  <c r="S127" i="8"/>
  <c r="U213" i="8"/>
  <c r="U215" i="8" s="1"/>
  <c r="T216" i="8"/>
  <c r="U211" i="8" s="1"/>
  <c r="Q59" i="11"/>
  <c r="R556" i="8"/>
  <c r="R559" i="8"/>
  <c r="R560" i="8" s="1"/>
  <c r="R39" i="11" s="1"/>
  <c r="Y144" i="8"/>
  <c r="U421" i="8"/>
  <c r="T424" i="8"/>
  <c r="U419" i="8" s="1"/>
  <c r="U422" i="8" s="1"/>
  <c r="U803" i="8" s="1"/>
  <c r="S414" i="8"/>
  <c r="X153" i="8"/>
  <c r="Y402" i="8"/>
  <c r="X404" i="8"/>
  <c r="X785" i="8" s="1"/>
  <c r="W257" i="8"/>
  <c r="U308" i="8"/>
  <c r="U310" i="8" s="1"/>
  <c r="T311" i="8"/>
  <c r="U306" i="8" s="1"/>
  <c r="R269" i="8"/>
  <c r="S468" i="8"/>
  <c r="S432" i="8"/>
  <c r="R682" i="8"/>
  <c r="W293" i="8"/>
  <c r="Y126" i="8"/>
  <c r="S165" i="8"/>
  <c r="Q56" i="11"/>
  <c r="R529" i="8"/>
  <c r="Q55" i="13"/>
  <c r="R726" i="8"/>
  <c r="R543" i="8"/>
  <c r="S542" i="8" s="1"/>
  <c r="Y388" i="8"/>
  <c r="Q60" i="12"/>
  <c r="R653" i="8"/>
  <c r="R654" i="8" s="1"/>
  <c r="R40" i="12" s="1"/>
  <c r="R650" i="8"/>
  <c r="T326" i="8"/>
  <c r="S329" i="8"/>
  <c r="T324" i="8" s="1"/>
  <c r="T327" i="8" s="1"/>
  <c r="T710" i="8" s="1"/>
  <c r="R758" i="8"/>
  <c r="Q57" i="12"/>
  <c r="R623" i="8"/>
  <c r="U484" i="8"/>
  <c r="T487" i="8"/>
  <c r="U482" i="8" s="1"/>
  <c r="U485" i="8" s="1"/>
  <c r="U866" i="8" s="1"/>
  <c r="W429" i="8"/>
  <c r="R713" i="8"/>
  <c r="S712" i="8" s="1"/>
  <c r="S35" i="13" s="1"/>
  <c r="W447" i="8"/>
  <c r="R587" i="8"/>
  <c r="R42" i="11" s="1"/>
  <c r="R869" i="8"/>
  <c r="S868" i="8" s="1"/>
  <c r="S42" i="14" s="1"/>
  <c r="R704" i="8"/>
  <c r="W266" i="8"/>
  <c r="S364" i="8"/>
  <c r="S450" i="8"/>
  <c r="O42" i="34"/>
  <c r="Q601" i="8"/>
  <c r="X221" i="8"/>
  <c r="W465" i="8"/>
  <c r="Q54" i="13"/>
  <c r="R717" i="8"/>
  <c r="S260" i="8"/>
  <c r="S441" i="8"/>
  <c r="R147" i="8"/>
  <c r="Q54" i="14"/>
  <c r="R792" i="8"/>
  <c r="R795" i="8"/>
  <c r="R796" i="8" s="1"/>
  <c r="R34" i="14" s="1"/>
  <c r="Q57" i="13"/>
  <c r="R747" i="8"/>
  <c r="R748" i="8" s="1"/>
  <c r="R39" i="13" s="1"/>
  <c r="R744" i="8"/>
  <c r="R156" i="8"/>
  <c r="S276" i="8"/>
  <c r="R279" i="8"/>
  <c r="S274" i="8" s="1"/>
  <c r="S277" i="8" s="1"/>
  <c r="S661" i="8" s="1"/>
  <c r="Q619" i="8"/>
  <c r="R618" i="8" s="1"/>
  <c r="R36" i="12" s="1"/>
  <c r="R815" i="8"/>
  <c r="S814" i="8"/>
  <c r="S36" i="14" s="1"/>
  <c r="X420" i="8"/>
  <c r="R637" i="8"/>
  <c r="Q60" i="13"/>
  <c r="R771" i="8"/>
  <c r="Q55" i="14"/>
  <c r="R801" i="8"/>
  <c r="R552" i="8"/>
  <c r="R516" i="8"/>
  <c r="W352" i="8"/>
  <c r="R646" i="8"/>
  <c r="S645" i="8"/>
  <c r="R610" i="8"/>
  <c r="X171" i="8"/>
  <c r="R524" i="8"/>
  <c r="R35" i="11" s="1"/>
  <c r="W411" i="8"/>
  <c r="W438" i="8"/>
  <c r="S346" i="8"/>
  <c r="O91" i="34"/>
  <c r="O93" i="34" s="1"/>
  <c r="O166" i="34"/>
  <c r="O167" i="34" s="1"/>
  <c r="O170" i="34" s="1"/>
  <c r="T328" i="8" l="1"/>
  <c r="U423" i="8"/>
  <c r="P69" i="12"/>
  <c r="P77" i="12" s="1"/>
  <c r="D5" i="40"/>
  <c r="D7" i="39"/>
  <c r="D11" i="39" s="1"/>
  <c r="D15" i="39" s="1"/>
  <c r="D22" i="39"/>
  <c r="E47" i="42"/>
  <c r="E30" i="42"/>
  <c r="E45" i="42"/>
  <c r="E45" i="40"/>
  <c r="P68" i="14"/>
  <c r="P77" i="14" s="1"/>
  <c r="P80" i="14" s="1"/>
  <c r="D5" i="42"/>
  <c r="E10" i="43"/>
  <c r="E27" i="43" s="1"/>
  <c r="E45" i="43" s="1"/>
  <c r="E27" i="39"/>
  <c r="S224" i="8"/>
  <c r="S391" i="8"/>
  <c r="C40" i="40"/>
  <c r="C42" i="40" s="1"/>
  <c r="C46" i="40" s="1"/>
  <c r="C50" i="40" s="1"/>
  <c r="C24" i="40"/>
  <c r="C28" i="40" s="1"/>
  <c r="C24" i="42"/>
  <c r="C28" i="42" s="1"/>
  <c r="C40" i="42"/>
  <c r="C42" i="42" s="1"/>
  <c r="C46" i="42" s="1"/>
  <c r="C50" i="42" s="1"/>
  <c r="C40" i="43"/>
  <c r="C42" i="43" s="1"/>
  <c r="C46" i="43" s="1"/>
  <c r="C50" i="43" s="1"/>
  <c r="C24" i="43"/>
  <c r="C28" i="43" s="1"/>
  <c r="C29" i="43" s="1"/>
  <c r="C33" i="43" s="1"/>
  <c r="C52" i="43" s="1"/>
  <c r="C29" i="39"/>
  <c r="C33" i="39"/>
  <c r="C52" i="39" s="1"/>
  <c r="C29" i="41"/>
  <c r="C33" i="41"/>
  <c r="C52" i="41" s="1"/>
  <c r="D22" i="41"/>
  <c r="D7" i="41"/>
  <c r="D11" i="41" s="1"/>
  <c r="D15" i="41" s="1"/>
  <c r="E12" i="43"/>
  <c r="R41" i="12"/>
  <c r="R48" i="12" s="1"/>
  <c r="R76" i="12" s="1"/>
  <c r="R85" i="12" s="1"/>
  <c r="F10" i="40" s="1"/>
  <c r="F27" i="40" s="1"/>
  <c r="U486" i="8"/>
  <c r="R233" i="8"/>
  <c r="S225" i="8"/>
  <c r="T220" i="8" s="1"/>
  <c r="T223" i="8" s="1"/>
  <c r="T607" i="8" s="1"/>
  <c r="T222" i="8"/>
  <c r="T201" i="8"/>
  <c r="T138" i="8"/>
  <c r="S392" i="8"/>
  <c r="T387" i="8" s="1"/>
  <c r="T390" i="8" s="1"/>
  <c r="T773" i="8" s="1"/>
  <c r="T389" i="8"/>
  <c r="T296" i="8"/>
  <c r="S317" i="8"/>
  <c r="R320" i="8"/>
  <c r="S315" i="8" s="1"/>
  <c r="S318" i="8" s="1"/>
  <c r="S701" i="8" s="1"/>
  <c r="R858" i="8"/>
  <c r="Q61" i="14"/>
  <c r="R855" i="8"/>
  <c r="Q191" i="34"/>
  <c r="Q193" i="34" s="1"/>
  <c r="Q196" i="34" s="1"/>
  <c r="N197" i="34" s="1"/>
  <c r="R823" i="8"/>
  <c r="R37" i="14" s="1"/>
  <c r="Q57" i="14"/>
  <c r="R355" i="8"/>
  <c r="R356" i="8" s="1"/>
  <c r="S351" i="8" s="1"/>
  <c r="S354" i="8" s="1"/>
  <c r="S737" i="8" s="1"/>
  <c r="P86" i="14"/>
  <c r="P89" i="14" s="1"/>
  <c r="P44" i="34" s="1"/>
  <c r="Q842" i="8"/>
  <c r="R840" i="8" s="1"/>
  <c r="R738" i="8"/>
  <c r="R735" i="8"/>
  <c r="Q56" i="13"/>
  <c r="R38" i="13"/>
  <c r="Q51" i="13"/>
  <c r="S190" i="8"/>
  <c r="S192" i="8" s="1"/>
  <c r="Q507" i="8"/>
  <c r="Q53" i="11" s="1"/>
  <c r="R694" i="8"/>
  <c r="R33" i="13" s="1"/>
  <c r="R47" i="13"/>
  <c r="R73" i="13" s="1"/>
  <c r="R82" i="13" s="1"/>
  <c r="F10" i="41" s="1"/>
  <c r="F27" i="41" s="1"/>
  <c r="R459" i="8"/>
  <c r="S457" i="8" s="1"/>
  <c r="R252" i="8"/>
  <c r="S247" i="8" s="1"/>
  <c r="S250" i="8" s="1"/>
  <c r="S634" i="8" s="1"/>
  <c r="R40" i="11"/>
  <c r="R47" i="11" s="1"/>
  <c r="R76" i="11" s="1"/>
  <c r="R183" i="8"/>
  <c r="R287" i="8"/>
  <c r="S285" i="8" s="1"/>
  <c r="S174" i="8"/>
  <c r="T172" i="8" s="1"/>
  <c r="S337" i="8"/>
  <c r="S338" i="8" s="1"/>
  <c r="T333" i="8" s="1"/>
  <c r="T336" i="8" s="1"/>
  <c r="T719" i="8" s="1"/>
  <c r="X474" i="8"/>
  <c r="X379" i="8"/>
  <c r="S475" i="8"/>
  <c r="R478" i="8"/>
  <c r="S473" i="8" s="1"/>
  <c r="S476" i="8" s="1"/>
  <c r="S857" i="8" s="1"/>
  <c r="Q61" i="11"/>
  <c r="R574" i="8"/>
  <c r="Q62" i="12"/>
  <c r="R671" i="8"/>
  <c r="R668" i="8"/>
  <c r="W189" i="8"/>
  <c r="S380" i="8"/>
  <c r="R383" i="8"/>
  <c r="S378" i="8" s="1"/>
  <c r="S381" i="8" s="1"/>
  <c r="S764" i="8" s="1"/>
  <c r="R765" i="8"/>
  <c r="R762" i="8"/>
  <c r="X284" i="8"/>
  <c r="Q60" i="11"/>
  <c r="R565" i="8"/>
  <c r="T344" i="8"/>
  <c r="S347" i="8"/>
  <c r="T342" i="8" s="1"/>
  <c r="T345" i="8" s="1"/>
  <c r="T728" i="8" s="1"/>
  <c r="X438" i="8"/>
  <c r="X411" i="8"/>
  <c r="R54" i="11"/>
  <c r="S511" i="8"/>
  <c r="S514" i="8"/>
  <c r="S515" i="8" s="1"/>
  <c r="S34" i="11" s="1"/>
  <c r="R58" i="11"/>
  <c r="S550" i="8"/>
  <c r="S551" i="8" s="1"/>
  <c r="S38" i="11" s="1"/>
  <c r="S547" i="8"/>
  <c r="R58" i="12"/>
  <c r="S632" i="8"/>
  <c r="S154" i="8"/>
  <c r="R157" i="8"/>
  <c r="S152" i="8" s="1"/>
  <c r="S155" i="8" s="1"/>
  <c r="S540" i="8" s="1"/>
  <c r="S37" i="11" s="1"/>
  <c r="T439" i="8"/>
  <c r="S442" i="8"/>
  <c r="T437" i="8" s="1"/>
  <c r="T440" i="8" s="1"/>
  <c r="T821" i="8" s="1"/>
  <c r="R722" i="8"/>
  <c r="S721" i="8"/>
  <c r="S36" i="13" s="1"/>
  <c r="Q54" i="12"/>
  <c r="R599" i="8"/>
  <c r="R600" i="8" s="1"/>
  <c r="R34" i="12" s="1"/>
  <c r="R596" i="8"/>
  <c r="O139" i="34"/>
  <c r="O140" i="34" s="1"/>
  <c r="O143" i="34" s="1"/>
  <c r="O74" i="34"/>
  <c r="O81" i="34" s="1"/>
  <c r="O83" i="34" s="1"/>
  <c r="T448" i="8"/>
  <c r="S451" i="8"/>
  <c r="T446" i="8" s="1"/>
  <c r="T449" i="8" s="1"/>
  <c r="T830" i="8" s="1"/>
  <c r="X266" i="8"/>
  <c r="R52" i="13"/>
  <c r="S702" i="8"/>
  <c r="S703" i="8" s="1"/>
  <c r="S34" i="13" s="1"/>
  <c r="S699" i="8"/>
  <c r="X447" i="8"/>
  <c r="X429" i="8"/>
  <c r="R628" i="8"/>
  <c r="S627" i="8"/>
  <c r="S37" i="12" s="1"/>
  <c r="U326" i="8"/>
  <c r="T329" i="8"/>
  <c r="U324" i="8" s="1"/>
  <c r="U327" i="8" s="1"/>
  <c r="U710" i="8" s="1"/>
  <c r="R731" i="8"/>
  <c r="S730" i="8" s="1"/>
  <c r="S37" i="13" s="1"/>
  <c r="R534" i="8"/>
  <c r="S533" i="8" s="1"/>
  <c r="T163" i="8"/>
  <c r="S166" i="8"/>
  <c r="T161" i="8" s="1"/>
  <c r="T164" i="8" s="1"/>
  <c r="T549" i="8" s="1"/>
  <c r="X293" i="8"/>
  <c r="R63" i="12"/>
  <c r="S677" i="8"/>
  <c r="T466" i="8"/>
  <c r="S469" i="8"/>
  <c r="T464" i="8" s="1"/>
  <c r="T467" i="8" s="1"/>
  <c r="T848" i="8" s="1"/>
  <c r="S267" i="8"/>
  <c r="R270" i="8"/>
  <c r="S265" i="8" s="1"/>
  <c r="S268" i="8" s="1"/>
  <c r="S652" i="8" s="1"/>
  <c r="V308" i="8"/>
  <c r="V310" i="8" s="1"/>
  <c r="U311" i="8"/>
  <c r="V306" i="8" s="1"/>
  <c r="X257" i="8"/>
  <c r="Y404" i="8"/>
  <c r="Y785" i="8" s="1"/>
  <c r="Z402" i="8"/>
  <c r="T412" i="8"/>
  <c r="S415" i="8"/>
  <c r="T410" i="8" s="1"/>
  <c r="T413" i="8" s="1"/>
  <c r="T794" i="8" s="1"/>
  <c r="V421" i="8"/>
  <c r="U424" i="8"/>
  <c r="V419" i="8" s="1"/>
  <c r="V422" i="8" s="1"/>
  <c r="V803" i="8" s="1"/>
  <c r="R561" i="8"/>
  <c r="P69" i="11"/>
  <c r="X361" i="8"/>
  <c r="P43" i="34"/>
  <c r="O86" i="11"/>
  <c r="O90" i="11" s="1"/>
  <c r="O81" i="11"/>
  <c r="R525" i="8"/>
  <c r="S524" i="8" s="1"/>
  <c r="S35" i="11" s="1"/>
  <c r="V118" i="8"/>
  <c r="V120" i="8" s="1"/>
  <c r="U121" i="8"/>
  <c r="V116" i="8" s="1"/>
  <c r="X119" i="8"/>
  <c r="X504" i="8" s="1"/>
  <c r="Y117" i="8"/>
  <c r="X214" i="8"/>
  <c r="X598" i="8" s="1"/>
  <c r="Y212" i="8"/>
  <c r="U199" i="8"/>
  <c r="T202" i="8"/>
  <c r="U197" i="8" s="1"/>
  <c r="U200" i="8" s="1"/>
  <c r="U585" i="8" s="1"/>
  <c r="X334" i="8"/>
  <c r="R58" i="14"/>
  <c r="S831" i="8"/>
  <c r="S828" i="8"/>
  <c r="Z325" i="8"/>
  <c r="Y135" i="8"/>
  <c r="U294" i="8"/>
  <c r="T297" i="8"/>
  <c r="U292" i="8" s="1"/>
  <c r="U295" i="8" s="1"/>
  <c r="U679" i="8" s="1"/>
  <c r="W309" i="8"/>
  <c r="W692" i="8" s="1"/>
  <c r="X307" i="8"/>
  <c r="X483" i="8"/>
  <c r="Y456" i="8"/>
  <c r="R664" i="8"/>
  <c r="Y198" i="8"/>
  <c r="V403" i="8"/>
  <c r="V405" i="8" s="1"/>
  <c r="U406" i="8"/>
  <c r="V401" i="8" s="1"/>
  <c r="Z162" i="8"/>
  <c r="R60" i="14"/>
  <c r="S846" i="8"/>
  <c r="S849" i="8"/>
  <c r="S850" i="8" s="1"/>
  <c r="S40" i="14" s="1"/>
  <c r="P86" i="12"/>
  <c r="P89" i="12" s="1"/>
  <c r="P80" i="12"/>
  <c r="T240" i="8"/>
  <c r="S243" i="8"/>
  <c r="T238" i="8" s="1"/>
  <c r="T241" i="8" s="1"/>
  <c r="T625" i="8" s="1"/>
  <c r="Y171" i="8"/>
  <c r="R55" i="12"/>
  <c r="S608" i="8"/>
  <c r="S609" i="8" s="1"/>
  <c r="S35" i="12" s="1"/>
  <c r="S605" i="8"/>
  <c r="R59" i="12"/>
  <c r="S641" i="8"/>
  <c r="S644" i="8"/>
  <c r="X352" i="8"/>
  <c r="R806" i="8"/>
  <c r="S805" i="8" s="1"/>
  <c r="S35" i="14" s="1"/>
  <c r="R776" i="8"/>
  <c r="S775" i="8" s="1"/>
  <c r="S42" i="13" s="1"/>
  <c r="S636" i="8"/>
  <c r="Y420" i="8"/>
  <c r="R56" i="14"/>
  <c r="S810" i="8"/>
  <c r="Q56" i="12"/>
  <c r="R614" i="8"/>
  <c r="S278" i="8"/>
  <c r="R749" i="8"/>
  <c r="R797" i="8"/>
  <c r="S145" i="8"/>
  <c r="R148" i="8"/>
  <c r="S143" i="8" s="1"/>
  <c r="S146" i="8" s="1"/>
  <c r="S531" i="8" s="1"/>
  <c r="T258" i="8"/>
  <c r="S261" i="8"/>
  <c r="T256" i="8" s="1"/>
  <c r="T259" i="8" s="1"/>
  <c r="T643" i="8" s="1"/>
  <c r="X465" i="8"/>
  <c r="Y221" i="8"/>
  <c r="T362" i="8"/>
  <c r="S365" i="8"/>
  <c r="T360" i="8" s="1"/>
  <c r="T363" i="8" s="1"/>
  <c r="T746" i="8" s="1"/>
  <c r="R62" i="14"/>
  <c r="S864" i="8"/>
  <c r="R53" i="13"/>
  <c r="S708" i="8"/>
  <c r="V484" i="8"/>
  <c r="U487" i="8"/>
  <c r="V482" i="8" s="1"/>
  <c r="V485" i="8" s="1"/>
  <c r="V866" i="8" s="1"/>
  <c r="R58" i="13"/>
  <c r="S753" i="8"/>
  <c r="S756" i="8"/>
  <c r="S757" i="8" s="1"/>
  <c r="S40" i="13" s="1"/>
  <c r="R655" i="8"/>
  <c r="Z388" i="8"/>
  <c r="R57" i="11"/>
  <c r="S538" i="8"/>
  <c r="Z126" i="8"/>
  <c r="S681" i="8"/>
  <c r="S43" i="12" s="1"/>
  <c r="T430" i="8"/>
  <c r="S433" i="8"/>
  <c r="T428" i="8" s="1"/>
  <c r="T431" i="8" s="1"/>
  <c r="T812" i="8" s="1"/>
  <c r="Y153" i="8"/>
  <c r="Z144" i="8"/>
  <c r="R788" i="8"/>
  <c r="V213" i="8"/>
  <c r="V215" i="8" s="1"/>
  <c r="U216" i="8"/>
  <c r="V211" i="8" s="1"/>
  <c r="S129" i="8"/>
  <c r="S231" i="8"/>
  <c r="R234" i="8"/>
  <c r="S229" i="8" s="1"/>
  <c r="S232" i="8" s="1"/>
  <c r="S616" i="8" s="1"/>
  <c r="Y180" i="8"/>
  <c r="S373" i="8"/>
  <c r="U136" i="8"/>
  <c r="T139" i="8"/>
  <c r="U134" i="8" s="1"/>
  <c r="U137" i="8" s="1"/>
  <c r="U522" i="8" s="1"/>
  <c r="S175" i="8"/>
  <c r="T170" i="8" s="1"/>
  <c r="T173" i="8" s="1"/>
  <c r="T558" i="8" s="1"/>
  <c r="T335" i="8"/>
  <c r="Y370" i="8"/>
  <c r="X239" i="8"/>
  <c r="R588" i="8"/>
  <c r="S587" i="8" s="1"/>
  <c r="S42" i="11" s="1"/>
  <c r="W230" i="8"/>
  <c r="Y275" i="8"/>
  <c r="Y248" i="8"/>
  <c r="Y343" i="8"/>
  <c r="U138" i="8" l="1"/>
  <c r="S233" i="8"/>
  <c r="V486" i="8"/>
  <c r="U296" i="8"/>
  <c r="V423" i="8"/>
  <c r="U328" i="8"/>
  <c r="F45" i="41"/>
  <c r="F45" i="40"/>
  <c r="E30" i="43"/>
  <c r="E47" i="43"/>
  <c r="D24" i="41"/>
  <c r="D28" i="41" s="1"/>
  <c r="D29" i="41" s="1"/>
  <c r="D33" i="41" s="1"/>
  <c r="D52" i="41" s="1"/>
  <c r="D40" i="41"/>
  <c r="D42" i="41" s="1"/>
  <c r="D46" i="41" s="1"/>
  <c r="D50" i="41" s="1"/>
  <c r="C29" i="42"/>
  <c r="C33" i="42"/>
  <c r="C52" i="42" s="1"/>
  <c r="C29" i="40"/>
  <c r="C33" i="40"/>
  <c r="C52" i="40" s="1"/>
  <c r="E45" i="39"/>
  <c r="D22" i="42"/>
  <c r="D7" i="42"/>
  <c r="D11" i="42" s="1"/>
  <c r="D15" i="42" s="1"/>
  <c r="D40" i="39"/>
  <c r="D42" i="39" s="1"/>
  <c r="D46" i="39" s="1"/>
  <c r="D50" i="39" s="1"/>
  <c r="D24" i="39"/>
  <c r="D28" i="39" s="1"/>
  <c r="D5" i="43"/>
  <c r="D22" i="40"/>
  <c r="D7" i="40"/>
  <c r="D11" i="40" s="1"/>
  <c r="D15" i="40" s="1"/>
  <c r="U201" i="8"/>
  <c r="T224" i="8"/>
  <c r="S319" i="8"/>
  <c r="S320" i="8" s="1"/>
  <c r="T315" i="8" s="1"/>
  <c r="T318" i="8" s="1"/>
  <c r="T701" i="8" s="1"/>
  <c r="T391" i="8"/>
  <c r="R85" i="11"/>
  <c r="F10" i="39" s="1"/>
  <c r="Q59" i="14"/>
  <c r="Q64" i="14" s="1"/>
  <c r="Q66" i="14" s="1"/>
  <c r="T317" i="8"/>
  <c r="S353" i="8"/>
  <c r="R841" i="8"/>
  <c r="R39" i="14" s="1"/>
  <c r="R47" i="14" s="1"/>
  <c r="R76" i="14" s="1"/>
  <c r="R85" i="14" s="1"/>
  <c r="F10" i="42" s="1"/>
  <c r="F27" i="42" s="1"/>
  <c r="R30" i="14"/>
  <c r="R78" i="14" s="1"/>
  <c r="R87" i="14" s="1"/>
  <c r="F12" i="42" s="1"/>
  <c r="R837" i="8"/>
  <c r="Q62" i="13"/>
  <c r="R860" i="8"/>
  <c r="S859" i="8"/>
  <c r="S41" i="14" s="1"/>
  <c r="R460" i="8"/>
  <c r="S455" i="8" s="1"/>
  <c r="S458" i="8" s="1"/>
  <c r="S839" i="8" s="1"/>
  <c r="R824" i="8"/>
  <c r="R695" i="8"/>
  <c r="R30" i="13"/>
  <c r="R75" i="13" s="1"/>
  <c r="R84" i="13" s="1"/>
  <c r="F12" i="41" s="1"/>
  <c r="S355" i="8"/>
  <c r="R740" i="8"/>
  <c r="S739" i="8"/>
  <c r="S38" i="13" s="1"/>
  <c r="R505" i="8"/>
  <c r="S38" i="12"/>
  <c r="S251" i="8"/>
  <c r="R31" i="12"/>
  <c r="R78" i="12" s="1"/>
  <c r="R87" i="12" s="1"/>
  <c r="F12" i="40" s="1"/>
  <c r="R502" i="8"/>
  <c r="R288" i="8"/>
  <c r="S283" i="8" s="1"/>
  <c r="S286" i="8" s="1"/>
  <c r="S670" i="8" s="1"/>
  <c r="S181" i="8"/>
  <c r="R184" i="8"/>
  <c r="S179" i="8" s="1"/>
  <c r="S182" i="8" s="1"/>
  <c r="S567" i="8" s="1"/>
  <c r="T364" i="8"/>
  <c r="T365" i="8" s="1"/>
  <c r="U360" i="8" s="1"/>
  <c r="U363" i="8" s="1"/>
  <c r="U746" i="8" s="1"/>
  <c r="S477" i="8"/>
  <c r="S478" i="8" s="1"/>
  <c r="T473" i="8" s="1"/>
  <c r="T476" i="8" s="1"/>
  <c r="T857" i="8" s="1"/>
  <c r="R767" i="8"/>
  <c r="S766" i="8"/>
  <c r="S41" i="13" s="1"/>
  <c r="X189" i="8"/>
  <c r="R579" i="8"/>
  <c r="S578" i="8"/>
  <c r="S41" i="11" s="1"/>
  <c r="Y379" i="8"/>
  <c r="S269" i="8"/>
  <c r="T267" i="8" s="1"/>
  <c r="T468" i="8"/>
  <c r="T469" i="8" s="1"/>
  <c r="U464" i="8" s="1"/>
  <c r="U467" i="8" s="1"/>
  <c r="U848" i="8" s="1"/>
  <c r="T165" i="8"/>
  <c r="U163" i="8" s="1"/>
  <c r="Q64" i="11"/>
  <c r="R570" i="8"/>
  <c r="S569" i="8"/>
  <c r="Y284" i="8"/>
  <c r="S382" i="8"/>
  <c r="R673" i="8"/>
  <c r="S672" i="8"/>
  <c r="T190" i="8"/>
  <c r="S193" i="8"/>
  <c r="T188" i="8" s="1"/>
  <c r="T191" i="8" s="1"/>
  <c r="T576" i="8" s="1"/>
  <c r="Y474" i="8"/>
  <c r="T371" i="8"/>
  <c r="S374" i="8"/>
  <c r="T369" i="8" s="1"/>
  <c r="T372" i="8" s="1"/>
  <c r="T755" i="8" s="1"/>
  <c r="Z180" i="8"/>
  <c r="S758" i="8"/>
  <c r="S713" i="8"/>
  <c r="T712" i="8" s="1"/>
  <c r="T35" i="13" s="1"/>
  <c r="S869" i="8"/>
  <c r="T868" i="8" s="1"/>
  <c r="T42" i="14" s="1"/>
  <c r="Z248" i="8"/>
  <c r="Z275" i="8"/>
  <c r="X230" i="8"/>
  <c r="R62" i="11"/>
  <c r="S583" i="8"/>
  <c r="Z370" i="8"/>
  <c r="T337" i="8"/>
  <c r="T174" i="8"/>
  <c r="V136" i="8"/>
  <c r="U139" i="8"/>
  <c r="V134" i="8" s="1"/>
  <c r="V137" i="8" s="1"/>
  <c r="V522" i="8" s="1"/>
  <c r="T231" i="8"/>
  <c r="S234" i="8"/>
  <c r="T229" i="8" s="1"/>
  <c r="T232" i="8" s="1"/>
  <c r="T616" i="8" s="1"/>
  <c r="T127" i="8"/>
  <c r="S130" i="8"/>
  <c r="T125" i="8" s="1"/>
  <c r="T128" i="8" s="1"/>
  <c r="T513" i="8" s="1"/>
  <c r="W213" i="8"/>
  <c r="W215" i="8" s="1"/>
  <c r="V216" i="8"/>
  <c r="W211" i="8" s="1"/>
  <c r="AA144" i="8"/>
  <c r="Z153" i="8"/>
  <c r="T432" i="8"/>
  <c r="AA126" i="8"/>
  <c r="S543" i="8"/>
  <c r="T542" i="8" s="1"/>
  <c r="AA388" i="8"/>
  <c r="W484" i="8"/>
  <c r="V487" i="8"/>
  <c r="W482" i="8" s="1"/>
  <c r="W485" i="8" s="1"/>
  <c r="W866" i="8" s="1"/>
  <c r="Z221" i="8"/>
  <c r="Y465" i="8"/>
  <c r="T260" i="8"/>
  <c r="S147" i="8"/>
  <c r="R54" i="14"/>
  <c r="S795" i="8"/>
  <c r="S796" i="8" s="1"/>
  <c r="S34" i="14" s="1"/>
  <c r="S792" i="8"/>
  <c r="R57" i="13"/>
  <c r="S744" i="8"/>
  <c r="S747" i="8"/>
  <c r="S748" i="8" s="1"/>
  <c r="S39" i="13" s="1"/>
  <c r="R619" i="8"/>
  <c r="S618" i="8" s="1"/>
  <c r="S36" i="12" s="1"/>
  <c r="S815" i="8"/>
  <c r="T814" i="8"/>
  <c r="Z420" i="8"/>
  <c r="Y352" i="8"/>
  <c r="T645" i="8"/>
  <c r="S646" i="8"/>
  <c r="S610" i="8"/>
  <c r="T242" i="8"/>
  <c r="P42" i="34"/>
  <c r="S851" i="8"/>
  <c r="T249" i="8"/>
  <c r="S252" i="8"/>
  <c r="T247" i="8" s="1"/>
  <c r="T250" i="8" s="1"/>
  <c r="T634" i="8" s="1"/>
  <c r="Z198" i="8"/>
  <c r="Y307" i="8"/>
  <c r="X309" i="8"/>
  <c r="X692" i="8" s="1"/>
  <c r="Z135" i="8"/>
  <c r="AA325" i="8"/>
  <c r="V199" i="8"/>
  <c r="U202" i="8"/>
  <c r="V197" i="8" s="1"/>
  <c r="V200" i="8" s="1"/>
  <c r="V585" i="8" s="1"/>
  <c r="Z117" i="8"/>
  <c r="Y119" i="8"/>
  <c r="Y504" i="8" s="1"/>
  <c r="Q64" i="13"/>
  <c r="R51" i="13"/>
  <c r="S690" i="8"/>
  <c r="S693" i="8"/>
  <c r="R55" i="11"/>
  <c r="S520" i="8"/>
  <c r="O41" i="34"/>
  <c r="P77" i="11"/>
  <c r="R59" i="11"/>
  <c r="S559" i="8"/>
  <c r="S560" i="8" s="1"/>
  <c r="S39" i="11" s="1"/>
  <c r="S556" i="8"/>
  <c r="W421" i="8"/>
  <c r="V424" i="8"/>
  <c r="W419" i="8" s="1"/>
  <c r="W422" i="8" s="1"/>
  <c r="W803" i="8" s="1"/>
  <c r="T414" i="8"/>
  <c r="S682" i="8"/>
  <c r="Y293" i="8"/>
  <c r="Y447" i="8"/>
  <c r="Y266" i="8"/>
  <c r="T450" i="8"/>
  <c r="R601" i="8"/>
  <c r="Q65" i="12"/>
  <c r="R54" i="13"/>
  <c r="S717" i="8"/>
  <c r="T441" i="8"/>
  <c r="S156" i="8"/>
  <c r="S637" i="8"/>
  <c r="Y411" i="8"/>
  <c r="Y438" i="8"/>
  <c r="T346" i="8"/>
  <c r="Q67" i="11"/>
  <c r="E5" i="39" s="1"/>
  <c r="Z343" i="8"/>
  <c r="Y239" i="8"/>
  <c r="R53" i="14"/>
  <c r="S786" i="8"/>
  <c r="S783" i="8"/>
  <c r="T36" i="14"/>
  <c r="R60" i="12"/>
  <c r="S650" i="8"/>
  <c r="S653" i="8"/>
  <c r="S654" i="8" s="1"/>
  <c r="S40" i="12" s="1"/>
  <c r="S36" i="11"/>
  <c r="T276" i="8"/>
  <c r="S279" i="8"/>
  <c r="T274" i="8" s="1"/>
  <c r="T277" i="8" s="1"/>
  <c r="T661" i="8" s="1"/>
  <c r="R60" i="13"/>
  <c r="S771" i="8"/>
  <c r="R55" i="14"/>
  <c r="S801" i="8"/>
  <c r="Z171" i="8"/>
  <c r="AA162" i="8"/>
  <c r="W403" i="8"/>
  <c r="W405" i="8" s="1"/>
  <c r="V406" i="8"/>
  <c r="W401" i="8" s="1"/>
  <c r="R61" i="12"/>
  <c r="S659" i="8"/>
  <c r="S662" i="8"/>
  <c r="S663" i="8" s="1"/>
  <c r="S41" i="12" s="1"/>
  <c r="Z456" i="8"/>
  <c r="Y483" i="8"/>
  <c r="V294" i="8"/>
  <c r="U297" i="8"/>
  <c r="V292" i="8" s="1"/>
  <c r="V295" i="8" s="1"/>
  <c r="V679" i="8" s="1"/>
  <c r="S833" i="8"/>
  <c r="T832" i="8"/>
  <c r="T38" i="14" s="1"/>
  <c r="Y334" i="8"/>
  <c r="Z212" i="8"/>
  <c r="Y214" i="8"/>
  <c r="Y598" i="8" s="1"/>
  <c r="W118" i="8"/>
  <c r="W120" i="8" s="1"/>
  <c r="V121" i="8"/>
  <c r="W116" i="8" s="1"/>
  <c r="P153" i="34"/>
  <c r="P154" i="34" s="1"/>
  <c r="P157" i="34" s="1"/>
  <c r="P86" i="34"/>
  <c r="P88" i="34" s="1"/>
  <c r="Y361" i="8"/>
  <c r="AA402" i="8"/>
  <c r="Z404" i="8"/>
  <c r="Z785" i="8" s="1"/>
  <c r="Y257" i="8"/>
  <c r="W308" i="8"/>
  <c r="W310" i="8" s="1"/>
  <c r="V311" i="8"/>
  <c r="W306" i="8" s="1"/>
  <c r="T166" i="8"/>
  <c r="U161" i="8" s="1"/>
  <c r="U164" i="8" s="1"/>
  <c r="U549" i="8" s="1"/>
  <c r="R56" i="11"/>
  <c r="S529" i="8"/>
  <c r="R55" i="13"/>
  <c r="S726" i="8"/>
  <c r="V326" i="8"/>
  <c r="U329" i="8"/>
  <c r="V324" i="8" s="1"/>
  <c r="V327" i="8" s="1"/>
  <c r="V710" i="8" s="1"/>
  <c r="R57" i="12"/>
  <c r="S623" i="8"/>
  <c r="Y429" i="8"/>
  <c r="S704" i="8"/>
  <c r="S552" i="8"/>
  <c r="S516" i="8"/>
  <c r="R30" i="11"/>
  <c r="R78" i="11" s="1"/>
  <c r="R87" i="11" s="1"/>
  <c r="F12" i="39" s="1"/>
  <c r="R506" i="8"/>
  <c r="R33" i="11" s="1"/>
  <c r="P91" i="34"/>
  <c r="P93" i="34" s="1"/>
  <c r="P166" i="34"/>
  <c r="P167" i="34" s="1"/>
  <c r="P170" i="34" s="1"/>
  <c r="F12" i="43" l="1"/>
  <c r="F30" i="39"/>
  <c r="F47" i="39"/>
  <c r="E7" i="39"/>
  <c r="E11" i="39" s="1"/>
  <c r="E15" i="39" s="1"/>
  <c r="E22" i="39"/>
  <c r="Q66" i="13"/>
  <c r="Q74" i="13" s="1"/>
  <c r="E5" i="41"/>
  <c r="V201" i="8"/>
  <c r="V138" i="8"/>
  <c r="F47" i="40"/>
  <c r="F30" i="40"/>
  <c r="F47" i="41"/>
  <c r="F30" i="41"/>
  <c r="F47" i="42"/>
  <c r="F30" i="42"/>
  <c r="F45" i="42"/>
  <c r="Q68" i="14"/>
  <c r="Q77" i="14" s="1"/>
  <c r="E5" i="42"/>
  <c r="F10" i="43"/>
  <c r="F27" i="43" s="1"/>
  <c r="F45" i="43" s="1"/>
  <c r="F27" i="39"/>
  <c r="F45" i="39" s="1"/>
  <c r="D24" i="40"/>
  <c r="D28" i="40" s="1"/>
  <c r="D29" i="40" s="1"/>
  <c r="D33" i="40" s="1"/>
  <c r="D52" i="40" s="1"/>
  <c r="D40" i="40"/>
  <c r="D42" i="40" s="1"/>
  <c r="D46" i="40" s="1"/>
  <c r="D50" i="40" s="1"/>
  <c r="D22" i="43"/>
  <c r="D7" i="43"/>
  <c r="D11" i="43" s="1"/>
  <c r="D15" i="43" s="1"/>
  <c r="D29" i="39"/>
  <c r="D33" i="39"/>
  <c r="D52" i="39" s="1"/>
  <c r="D24" i="42"/>
  <c r="D28" i="42" s="1"/>
  <c r="D40" i="42"/>
  <c r="D42" i="42" s="1"/>
  <c r="D46" i="42" s="1"/>
  <c r="D50" i="42" s="1"/>
  <c r="V328" i="8"/>
  <c r="V296" i="8"/>
  <c r="U222" i="8"/>
  <c r="T225" i="8"/>
  <c r="U220" i="8" s="1"/>
  <c r="U223" i="8" s="1"/>
  <c r="U607" i="8" s="1"/>
  <c r="W423" i="8"/>
  <c r="T392" i="8"/>
  <c r="U387" i="8" s="1"/>
  <c r="U390" i="8" s="1"/>
  <c r="U773" i="8" s="1"/>
  <c r="U389" i="8"/>
  <c r="U391" i="8" s="1"/>
  <c r="W486" i="8"/>
  <c r="T233" i="8"/>
  <c r="S459" i="8"/>
  <c r="T319" i="8"/>
  <c r="R842" i="8"/>
  <c r="S840" i="8" s="1"/>
  <c r="S841" i="8" s="1"/>
  <c r="S39" i="14" s="1"/>
  <c r="R61" i="14"/>
  <c r="S855" i="8"/>
  <c r="S858" i="8"/>
  <c r="S823" i="8"/>
  <c r="S37" i="14" s="1"/>
  <c r="S47" i="14" s="1"/>
  <c r="S76" i="14" s="1"/>
  <c r="S85" i="14" s="1"/>
  <c r="G10" i="42" s="1"/>
  <c r="R57" i="14"/>
  <c r="S819" i="8"/>
  <c r="S824" i="8" s="1"/>
  <c r="T823" i="8" s="1"/>
  <c r="T37" i="14" s="1"/>
  <c r="S42" i="12"/>
  <c r="S48" i="12" s="1"/>
  <c r="S76" i="12" s="1"/>
  <c r="T353" i="8"/>
  <c r="S356" i="8"/>
  <c r="T351" i="8" s="1"/>
  <c r="T354" i="8" s="1"/>
  <c r="T737" i="8" s="1"/>
  <c r="S270" i="8"/>
  <c r="T265" i="8" s="1"/>
  <c r="T268" i="8" s="1"/>
  <c r="T652" i="8" s="1"/>
  <c r="U362" i="8"/>
  <c r="U364" i="8" s="1"/>
  <c r="S738" i="8"/>
  <c r="R56" i="13"/>
  <c r="S735" i="8"/>
  <c r="S787" i="8"/>
  <c r="S33" i="14" s="1"/>
  <c r="S287" i="8"/>
  <c r="S288" i="8" s="1"/>
  <c r="T283" i="8" s="1"/>
  <c r="T286" i="8" s="1"/>
  <c r="T670" i="8" s="1"/>
  <c r="U466" i="8"/>
  <c r="U468" i="8" s="1"/>
  <c r="T475" i="8"/>
  <c r="T477" i="8" s="1"/>
  <c r="T478" i="8" s="1"/>
  <c r="U473" i="8" s="1"/>
  <c r="U476" i="8" s="1"/>
  <c r="U857" i="8" s="1"/>
  <c r="S40" i="11"/>
  <c r="S47" i="11" s="1"/>
  <c r="S76" i="11" s="1"/>
  <c r="T457" i="8"/>
  <c r="S460" i="8"/>
  <c r="T455" i="8" s="1"/>
  <c r="T458" i="8" s="1"/>
  <c r="T839" i="8" s="1"/>
  <c r="S183" i="8"/>
  <c r="T129" i="8"/>
  <c r="U127" i="8" s="1"/>
  <c r="T278" i="8"/>
  <c r="U276" i="8" s="1"/>
  <c r="S47" i="13"/>
  <c r="S73" i="13" s="1"/>
  <c r="S82" i="13" s="1"/>
  <c r="G10" i="41" s="1"/>
  <c r="T251" i="8"/>
  <c r="T252" i="8" s="1"/>
  <c r="U247" i="8" s="1"/>
  <c r="U250" i="8" s="1"/>
  <c r="U634" i="8" s="1"/>
  <c r="Z474" i="8"/>
  <c r="S668" i="8"/>
  <c r="R62" i="12"/>
  <c r="S671" i="8"/>
  <c r="S565" i="8"/>
  <c r="R60" i="11"/>
  <c r="Z379" i="8"/>
  <c r="S574" i="8"/>
  <c r="R61" i="11"/>
  <c r="Y189" i="8"/>
  <c r="S762" i="8"/>
  <c r="S765" i="8"/>
  <c r="T192" i="8"/>
  <c r="T380" i="8"/>
  <c r="S383" i="8"/>
  <c r="T378" i="8" s="1"/>
  <c r="T381" i="8" s="1"/>
  <c r="T764" i="8" s="1"/>
  <c r="Z284" i="8"/>
  <c r="S54" i="11"/>
  <c r="T514" i="8"/>
  <c r="T515" i="8" s="1"/>
  <c r="T34" i="11" s="1"/>
  <c r="T511" i="8"/>
  <c r="S58" i="11"/>
  <c r="T547" i="8"/>
  <c r="T550" i="8"/>
  <c r="T551" i="8" s="1"/>
  <c r="T38" i="11" s="1"/>
  <c r="S52" i="13"/>
  <c r="T699" i="8"/>
  <c r="T702" i="8"/>
  <c r="T703" i="8" s="1"/>
  <c r="T34" i="13" s="1"/>
  <c r="W326" i="8"/>
  <c r="V329" i="8"/>
  <c r="W324" i="8" s="1"/>
  <c r="W327" i="8" s="1"/>
  <c r="W710" i="8" s="1"/>
  <c r="U165" i="8"/>
  <c r="X118" i="8"/>
  <c r="X120" i="8" s="1"/>
  <c r="W121" i="8"/>
  <c r="X116" i="8" s="1"/>
  <c r="Z214" i="8"/>
  <c r="Z598" i="8" s="1"/>
  <c r="AA212" i="8"/>
  <c r="W294" i="8"/>
  <c r="V297" i="8"/>
  <c r="W292" i="8" s="1"/>
  <c r="W295" i="8" s="1"/>
  <c r="W679" i="8" s="1"/>
  <c r="Z483" i="8"/>
  <c r="AA456" i="8"/>
  <c r="S664" i="8"/>
  <c r="X403" i="8"/>
  <c r="X405" i="8" s="1"/>
  <c r="W406" i="8"/>
  <c r="X401" i="8" s="1"/>
  <c r="AA171" i="8"/>
  <c r="S806" i="8"/>
  <c r="T805" i="8" s="1"/>
  <c r="T35" i="14" s="1"/>
  <c r="S776" i="8"/>
  <c r="T775" i="8" s="1"/>
  <c r="T42" i="13" s="1"/>
  <c r="S655" i="8"/>
  <c r="Z239" i="8"/>
  <c r="Q69" i="11"/>
  <c r="U344" i="8"/>
  <c r="T347" i="8"/>
  <c r="U342" i="8" s="1"/>
  <c r="U345" i="8" s="1"/>
  <c r="U728" i="8" s="1"/>
  <c r="S58" i="12"/>
  <c r="T632" i="8"/>
  <c r="T154" i="8"/>
  <c r="S157" i="8"/>
  <c r="T152" i="8" s="1"/>
  <c r="T155" i="8" s="1"/>
  <c r="T540" i="8" s="1"/>
  <c r="T37" i="11" s="1"/>
  <c r="S722" i="8"/>
  <c r="T721" i="8"/>
  <c r="T36" i="13" s="1"/>
  <c r="Q67" i="12"/>
  <c r="R54" i="12"/>
  <c r="S596" i="8"/>
  <c r="S599" i="8"/>
  <c r="U448" i="8"/>
  <c r="T451" i="8"/>
  <c r="U446" i="8" s="1"/>
  <c r="U449" i="8" s="1"/>
  <c r="U830" i="8" s="1"/>
  <c r="Z293" i="8"/>
  <c r="S63" i="12"/>
  <c r="T677" i="8"/>
  <c r="U412" i="8"/>
  <c r="T415" i="8"/>
  <c r="U410" i="8" s="1"/>
  <c r="U413" i="8" s="1"/>
  <c r="U794" i="8" s="1"/>
  <c r="X421" i="8"/>
  <c r="W424" i="8"/>
  <c r="X419" i="8" s="1"/>
  <c r="X422" i="8" s="1"/>
  <c r="X803" i="8" s="1"/>
  <c r="P86" i="11"/>
  <c r="P90" i="11" s="1"/>
  <c r="P81" i="11"/>
  <c r="Q83" i="13"/>
  <c r="Q86" i="13" s="1"/>
  <c r="Q77" i="13"/>
  <c r="AA135" i="8"/>
  <c r="P74" i="34"/>
  <c r="P81" i="34" s="1"/>
  <c r="P83" i="34" s="1"/>
  <c r="P139" i="34"/>
  <c r="P140" i="34" s="1"/>
  <c r="P143" i="34" s="1"/>
  <c r="U240" i="8"/>
  <c r="T243" i="8"/>
  <c r="U238" i="8" s="1"/>
  <c r="U241" i="8" s="1"/>
  <c r="U625" i="8" s="1"/>
  <c r="S59" i="12"/>
  <c r="T644" i="8"/>
  <c r="T641" i="8"/>
  <c r="T145" i="8"/>
  <c r="S148" i="8"/>
  <c r="T143" i="8" s="1"/>
  <c r="T146" i="8" s="1"/>
  <c r="T531" i="8" s="1"/>
  <c r="AB388" i="8"/>
  <c r="S57" i="11"/>
  <c r="T538" i="8"/>
  <c r="U430" i="8"/>
  <c r="T433" i="8"/>
  <c r="U428" i="8" s="1"/>
  <c r="U431" i="8" s="1"/>
  <c r="U812" i="8" s="1"/>
  <c r="AA153" i="8"/>
  <c r="U231" i="8"/>
  <c r="T234" i="8"/>
  <c r="U229" i="8" s="1"/>
  <c r="U232" i="8" s="1"/>
  <c r="U616" i="8" s="1"/>
  <c r="W136" i="8"/>
  <c r="V139" i="8"/>
  <c r="W134" i="8" s="1"/>
  <c r="W137" i="8" s="1"/>
  <c r="W522" i="8" s="1"/>
  <c r="U335" i="8"/>
  <c r="T338" i="8"/>
  <c r="U333" i="8" s="1"/>
  <c r="U336" i="8" s="1"/>
  <c r="U719" i="8" s="1"/>
  <c r="AA248" i="8"/>
  <c r="S62" i="14"/>
  <c r="T864" i="8"/>
  <c r="S53" i="13"/>
  <c r="T708" i="8"/>
  <c r="S58" i="13"/>
  <c r="T756" i="8"/>
  <c r="T757" i="8" s="1"/>
  <c r="T40" i="13" s="1"/>
  <c r="T753" i="8"/>
  <c r="AA180" i="8"/>
  <c r="T373" i="8"/>
  <c r="Z429" i="8"/>
  <c r="S628" i="8"/>
  <c r="T627" i="8"/>
  <c r="T37" i="12" s="1"/>
  <c r="S731" i="8"/>
  <c r="T730" i="8" s="1"/>
  <c r="T37" i="13" s="1"/>
  <c r="S534" i="8"/>
  <c r="T533" i="8" s="1"/>
  <c r="X308" i="8"/>
  <c r="X310" i="8" s="1"/>
  <c r="W311" i="8"/>
  <c r="X306" i="8" s="1"/>
  <c r="Z257" i="8"/>
  <c r="AA404" i="8"/>
  <c r="AA785" i="8" s="1"/>
  <c r="AB402" i="8"/>
  <c r="Z361" i="8"/>
  <c r="Z334" i="8"/>
  <c r="S58" i="14"/>
  <c r="T831" i="8"/>
  <c r="T828" i="8"/>
  <c r="AB162" i="8"/>
  <c r="AA343" i="8"/>
  <c r="R507" i="8"/>
  <c r="Z438" i="8"/>
  <c r="Z411" i="8"/>
  <c r="T636" i="8"/>
  <c r="T38" i="12" s="1"/>
  <c r="U439" i="8"/>
  <c r="T442" i="8"/>
  <c r="U437" i="8" s="1"/>
  <c r="U440" i="8" s="1"/>
  <c r="U821" i="8" s="1"/>
  <c r="S600" i="8"/>
  <c r="S34" i="12" s="1"/>
  <c r="Z266" i="8"/>
  <c r="Z447" i="8"/>
  <c r="T681" i="8"/>
  <c r="T43" i="12" s="1"/>
  <c r="S561" i="8"/>
  <c r="O52" i="34"/>
  <c r="O61" i="34" s="1"/>
  <c r="O46" i="34"/>
  <c r="S525" i="8"/>
  <c r="T524" i="8" s="1"/>
  <c r="T35" i="11" s="1"/>
  <c r="S30" i="13"/>
  <c r="S75" i="13" s="1"/>
  <c r="S84" i="13" s="1"/>
  <c r="G12" i="41" s="1"/>
  <c r="S694" i="8"/>
  <c r="S33" i="13" s="1"/>
  <c r="R62" i="13"/>
  <c r="Z119" i="8"/>
  <c r="Z504" i="8" s="1"/>
  <c r="AA117" i="8"/>
  <c r="W199" i="8"/>
  <c r="V202" i="8"/>
  <c r="W197" i="8" s="1"/>
  <c r="W200" i="8" s="1"/>
  <c r="W585" i="8" s="1"/>
  <c r="AB325" i="8"/>
  <c r="Y309" i="8"/>
  <c r="Y692" i="8" s="1"/>
  <c r="Z307" i="8"/>
  <c r="AA198" i="8"/>
  <c r="S60" i="14"/>
  <c r="T849" i="8"/>
  <c r="T850" i="8" s="1"/>
  <c r="T40" i="14" s="1"/>
  <c r="T846" i="8"/>
  <c r="S55" i="12"/>
  <c r="T605" i="8"/>
  <c r="T608" i="8"/>
  <c r="T609" i="8" s="1"/>
  <c r="T35" i="12" s="1"/>
  <c r="Z352" i="8"/>
  <c r="AA420" i="8"/>
  <c r="S56" i="14"/>
  <c r="T810" i="8"/>
  <c r="R56" i="12"/>
  <c r="S614" i="8"/>
  <c r="S749" i="8"/>
  <c r="S797" i="8"/>
  <c r="U258" i="8"/>
  <c r="T261" i="8"/>
  <c r="U256" i="8" s="1"/>
  <c r="U259" i="8" s="1"/>
  <c r="U643" i="8" s="1"/>
  <c r="Z465" i="8"/>
  <c r="AA221" i="8"/>
  <c r="X484" i="8"/>
  <c r="W487" i="8"/>
  <c r="X482" i="8" s="1"/>
  <c r="X485" i="8" s="1"/>
  <c r="X866" i="8" s="1"/>
  <c r="AB126" i="8"/>
  <c r="AB144" i="8"/>
  <c r="X213" i="8"/>
  <c r="X215" i="8" s="1"/>
  <c r="W216" i="8"/>
  <c r="X211" i="8" s="1"/>
  <c r="T130" i="8"/>
  <c r="U125" i="8" s="1"/>
  <c r="U128" i="8" s="1"/>
  <c r="U513" i="8" s="1"/>
  <c r="U172" i="8"/>
  <c r="T175" i="8"/>
  <c r="U170" i="8" s="1"/>
  <c r="U173" i="8" s="1"/>
  <c r="U558" i="8" s="1"/>
  <c r="AA370" i="8"/>
  <c r="S588" i="8"/>
  <c r="T587" i="8" s="1"/>
  <c r="T42" i="11" s="1"/>
  <c r="Y230" i="8"/>
  <c r="AA275" i="8"/>
  <c r="S57" i="14"/>
  <c r="T819" i="8"/>
  <c r="G47" i="41" l="1"/>
  <c r="G30" i="41"/>
  <c r="W138" i="8"/>
  <c r="U233" i="8"/>
  <c r="X423" i="8"/>
  <c r="Q69" i="12"/>
  <c r="Q77" i="12" s="1"/>
  <c r="E5" i="40"/>
  <c r="G27" i="41"/>
  <c r="G27" i="42"/>
  <c r="U224" i="8"/>
  <c r="D29" i="42"/>
  <c r="D33" i="42"/>
  <c r="D52" i="42" s="1"/>
  <c r="D40" i="43"/>
  <c r="D42" i="43" s="1"/>
  <c r="D46" i="43" s="1"/>
  <c r="D50" i="43" s="1"/>
  <c r="D24" i="43"/>
  <c r="D28" i="43" s="1"/>
  <c r="D29" i="43" s="1"/>
  <c r="D33" i="43" s="1"/>
  <c r="D52" i="43" s="1"/>
  <c r="E22" i="42"/>
  <c r="E7" i="42"/>
  <c r="E11" i="42" s="1"/>
  <c r="E15" i="42" s="1"/>
  <c r="Q86" i="14"/>
  <c r="Q89" i="14" s="1"/>
  <c r="Q44" i="34" s="1"/>
  <c r="Q80" i="14"/>
  <c r="E22" i="41"/>
  <c r="E7" i="41"/>
  <c r="E11" i="41" s="1"/>
  <c r="E15" i="41" s="1"/>
  <c r="E24" i="39"/>
  <c r="E28" i="39" s="1"/>
  <c r="E40" i="39"/>
  <c r="E42" i="39" s="1"/>
  <c r="E46" i="39" s="1"/>
  <c r="E50" i="39" s="1"/>
  <c r="F47" i="43"/>
  <c r="F30" i="43"/>
  <c r="X486" i="8"/>
  <c r="V222" i="8"/>
  <c r="U225" i="8"/>
  <c r="V220" i="8" s="1"/>
  <c r="V223" i="8" s="1"/>
  <c r="V607" i="8" s="1"/>
  <c r="W296" i="8"/>
  <c r="W201" i="8"/>
  <c r="W328" i="8"/>
  <c r="V389" i="8"/>
  <c r="U392" i="8"/>
  <c r="V387" i="8" s="1"/>
  <c r="V390" i="8" s="1"/>
  <c r="V773" i="8" s="1"/>
  <c r="S85" i="11"/>
  <c r="G10" i="39" s="1"/>
  <c r="S837" i="8"/>
  <c r="S842" i="8" s="1"/>
  <c r="T840" i="8" s="1"/>
  <c r="T841" i="8" s="1"/>
  <c r="T320" i="8"/>
  <c r="U315" i="8" s="1"/>
  <c r="U318" i="8" s="1"/>
  <c r="U701" i="8" s="1"/>
  <c r="U317" i="8"/>
  <c r="T285" i="8"/>
  <c r="T287" i="8" s="1"/>
  <c r="U285" i="8" s="1"/>
  <c r="R59" i="14"/>
  <c r="R64" i="14" s="1"/>
  <c r="S30" i="14"/>
  <c r="S78" i="14" s="1"/>
  <c r="S87" i="14" s="1"/>
  <c r="G12" i="42" s="1"/>
  <c r="T859" i="8"/>
  <c r="T41" i="14" s="1"/>
  <c r="S860" i="8"/>
  <c r="T39" i="14"/>
  <c r="V466" i="8"/>
  <c r="U469" i="8"/>
  <c r="V464" i="8" s="1"/>
  <c r="V467" i="8" s="1"/>
  <c r="V848" i="8" s="1"/>
  <c r="U249" i="8"/>
  <c r="S59" i="14"/>
  <c r="T269" i="8"/>
  <c r="U267" i="8" s="1"/>
  <c r="T739" i="8"/>
  <c r="S740" i="8"/>
  <c r="S31" i="12"/>
  <c r="S78" i="12" s="1"/>
  <c r="S87" i="12" s="1"/>
  <c r="G12" i="40" s="1"/>
  <c r="T38" i="13"/>
  <c r="S788" i="8"/>
  <c r="T783" i="8" s="1"/>
  <c r="T279" i="8"/>
  <c r="U274" i="8" s="1"/>
  <c r="U277" i="8" s="1"/>
  <c r="U661" i="8" s="1"/>
  <c r="U475" i="8"/>
  <c r="U477" i="8" s="1"/>
  <c r="T355" i="8"/>
  <c r="T459" i="8"/>
  <c r="T181" i="8"/>
  <c r="S184" i="8"/>
  <c r="T179" i="8" s="1"/>
  <c r="T182" i="8" s="1"/>
  <c r="T567" i="8" s="1"/>
  <c r="T147" i="8"/>
  <c r="U145" i="8" s="1"/>
  <c r="T156" i="8"/>
  <c r="U154" i="8" s="1"/>
  <c r="AA284" i="8"/>
  <c r="T382" i="8"/>
  <c r="U190" i="8"/>
  <c r="T193" i="8"/>
  <c r="U188" i="8" s="1"/>
  <c r="U191" i="8" s="1"/>
  <c r="U576" i="8" s="1"/>
  <c r="S767" i="8"/>
  <c r="T766" i="8"/>
  <c r="T41" i="13" s="1"/>
  <c r="Z189" i="8"/>
  <c r="AA379" i="8"/>
  <c r="T569" i="8"/>
  <c r="S570" i="8"/>
  <c r="S579" i="8"/>
  <c r="T578" i="8"/>
  <c r="T41" i="11" s="1"/>
  <c r="S673" i="8"/>
  <c r="T672" i="8"/>
  <c r="T42" i="12" s="1"/>
  <c r="AA474" i="8"/>
  <c r="Z230" i="8"/>
  <c r="T815" i="8"/>
  <c r="U814" i="8"/>
  <c r="U36" i="14" s="1"/>
  <c r="AB420" i="8"/>
  <c r="AB198" i="8"/>
  <c r="S59" i="11"/>
  <c r="T556" i="8"/>
  <c r="T559" i="8"/>
  <c r="T560" i="8" s="1"/>
  <c r="T39" i="11" s="1"/>
  <c r="V362" i="8"/>
  <c r="U365" i="8"/>
  <c r="V360" i="8" s="1"/>
  <c r="V363" i="8" s="1"/>
  <c r="V746" i="8" s="1"/>
  <c r="AC162" i="8"/>
  <c r="T824" i="8"/>
  <c r="U823" i="8" s="1"/>
  <c r="U37" i="14" s="1"/>
  <c r="AB275" i="8"/>
  <c r="AB370" i="8"/>
  <c r="U174" i="8"/>
  <c r="U129" i="8"/>
  <c r="Y213" i="8"/>
  <c r="Y215" i="8" s="1"/>
  <c r="X216" i="8"/>
  <c r="Y211" i="8" s="1"/>
  <c r="AC126" i="8"/>
  <c r="Y484" i="8"/>
  <c r="X487" i="8"/>
  <c r="Y482" i="8" s="1"/>
  <c r="Y485" i="8" s="1"/>
  <c r="Y866" i="8" s="1"/>
  <c r="AB221" i="8"/>
  <c r="AA465" i="8"/>
  <c r="U260" i="8"/>
  <c r="S54" i="14"/>
  <c r="T792" i="8"/>
  <c r="T795" i="8"/>
  <c r="T796" i="8" s="1"/>
  <c r="T34" i="14" s="1"/>
  <c r="T47" i="14" s="1"/>
  <c r="T76" i="14" s="1"/>
  <c r="S57" i="13"/>
  <c r="T747" i="8"/>
  <c r="T748" i="8" s="1"/>
  <c r="T39" i="13" s="1"/>
  <c r="T744" i="8"/>
  <c r="AA352" i="8"/>
  <c r="T610" i="8"/>
  <c r="T851" i="8"/>
  <c r="U251" i="8"/>
  <c r="AA307" i="8"/>
  <c r="Z309" i="8"/>
  <c r="Z692" i="8" s="1"/>
  <c r="AC325" i="8"/>
  <c r="X199" i="8"/>
  <c r="W202" i="8"/>
  <c r="X197" i="8" s="1"/>
  <c r="X200" i="8" s="1"/>
  <c r="X585" i="8" s="1"/>
  <c r="R64" i="13"/>
  <c r="S55" i="11"/>
  <c r="T520" i="8"/>
  <c r="O62" i="34"/>
  <c r="O66" i="34"/>
  <c r="AA266" i="8"/>
  <c r="U441" i="8"/>
  <c r="AA411" i="8"/>
  <c r="AA438" i="8"/>
  <c r="Q166" i="34"/>
  <c r="Q167" i="34" s="1"/>
  <c r="Q170" i="34" s="1"/>
  <c r="Q91" i="34"/>
  <c r="Q93" i="34" s="1"/>
  <c r="AB343" i="8"/>
  <c r="T833" i="8"/>
  <c r="U832" i="8"/>
  <c r="U38" i="14" s="1"/>
  <c r="AA361" i="8"/>
  <c r="AC402" i="8"/>
  <c r="AB404" i="8"/>
  <c r="AB785" i="8" s="1"/>
  <c r="AA257" i="8"/>
  <c r="Y308" i="8"/>
  <c r="Y310" i="8" s="1"/>
  <c r="X311" i="8"/>
  <c r="Y306" i="8" s="1"/>
  <c r="V468" i="8"/>
  <c r="S55" i="13"/>
  <c r="T726" i="8"/>
  <c r="AA429" i="8"/>
  <c r="U371" i="8"/>
  <c r="T374" i="8"/>
  <c r="U369" i="8" s="1"/>
  <c r="U372" i="8" s="1"/>
  <c r="U755" i="8" s="1"/>
  <c r="AB180" i="8"/>
  <c r="T758" i="8"/>
  <c r="U337" i="8"/>
  <c r="X136" i="8"/>
  <c r="W139" i="8"/>
  <c r="X134" i="8" s="1"/>
  <c r="X137" i="8" s="1"/>
  <c r="X522" i="8" s="1"/>
  <c r="V231" i="8"/>
  <c r="U234" i="8"/>
  <c r="V229" i="8" s="1"/>
  <c r="V232" i="8" s="1"/>
  <c r="V616" i="8" s="1"/>
  <c r="AB153" i="8"/>
  <c r="U432" i="8"/>
  <c r="T36" i="11"/>
  <c r="T646" i="8"/>
  <c r="U645" i="8"/>
  <c r="U242" i="8"/>
  <c r="AB135" i="8"/>
  <c r="Q43" i="34"/>
  <c r="S695" i="8"/>
  <c r="P41" i="34"/>
  <c r="Y421" i="8"/>
  <c r="X424" i="8"/>
  <c r="Y419" i="8" s="1"/>
  <c r="Y422" i="8" s="1"/>
  <c r="Y803" i="8" s="1"/>
  <c r="U414" i="8"/>
  <c r="U450" i="8"/>
  <c r="S601" i="8"/>
  <c r="Q86" i="12"/>
  <c r="Q89" i="12" s="1"/>
  <c r="Q80" i="12"/>
  <c r="T637" i="8"/>
  <c r="U636" i="8" s="1"/>
  <c r="U38" i="12" s="1"/>
  <c r="U346" i="8"/>
  <c r="AA239" i="8"/>
  <c r="R66" i="14"/>
  <c r="S53" i="14"/>
  <c r="S60" i="12"/>
  <c r="T653" i="8"/>
  <c r="T654" i="8" s="1"/>
  <c r="T40" i="12" s="1"/>
  <c r="T650" i="8"/>
  <c r="AB171" i="8"/>
  <c r="Y403" i="8"/>
  <c r="Y405" i="8" s="1"/>
  <c r="X406" i="8"/>
  <c r="Y401" i="8" s="1"/>
  <c r="S61" i="12"/>
  <c r="T662" i="8"/>
  <c r="T663" i="8" s="1"/>
  <c r="T41" i="12" s="1"/>
  <c r="T659" i="8"/>
  <c r="AB456" i="8"/>
  <c r="AA483" i="8"/>
  <c r="X294" i="8"/>
  <c r="W297" i="8"/>
  <c r="X292" i="8" s="1"/>
  <c r="X295" i="8" s="1"/>
  <c r="X679" i="8" s="1"/>
  <c r="Y118" i="8"/>
  <c r="Y120" i="8" s="1"/>
  <c r="X121" i="8"/>
  <c r="Y116" i="8" s="1"/>
  <c r="T704" i="8"/>
  <c r="T552" i="8"/>
  <c r="T516" i="8"/>
  <c r="S62" i="11"/>
  <c r="T583" i="8"/>
  <c r="AC144" i="8"/>
  <c r="S619" i="8"/>
  <c r="T618" i="8" s="1"/>
  <c r="T36" i="12" s="1"/>
  <c r="AB117" i="8"/>
  <c r="AA119" i="8"/>
  <c r="AA504" i="8" s="1"/>
  <c r="AA447" i="8"/>
  <c r="R53" i="11"/>
  <c r="R64" i="11" s="1"/>
  <c r="S502" i="8"/>
  <c r="S505" i="8"/>
  <c r="S30" i="11" s="1"/>
  <c r="S78" i="11" s="1"/>
  <c r="S87" i="11" s="1"/>
  <c r="G12" i="39" s="1"/>
  <c r="AA334" i="8"/>
  <c r="S56" i="11"/>
  <c r="T529" i="8"/>
  <c r="S57" i="12"/>
  <c r="T623" i="8"/>
  <c r="T713" i="8"/>
  <c r="U712" i="8" s="1"/>
  <c r="U35" i="13" s="1"/>
  <c r="T869" i="8"/>
  <c r="U868" i="8" s="1"/>
  <c r="U42" i="14" s="1"/>
  <c r="AB248" i="8"/>
  <c r="T543" i="8"/>
  <c r="U542" i="8" s="1"/>
  <c r="AC388" i="8"/>
  <c r="T148" i="8"/>
  <c r="U143" i="8" s="1"/>
  <c r="U146" i="8" s="1"/>
  <c r="U531" i="8" s="1"/>
  <c r="T682" i="8"/>
  <c r="U681" i="8" s="1"/>
  <c r="U43" i="12" s="1"/>
  <c r="AA293" i="8"/>
  <c r="R65" i="12"/>
  <c r="S54" i="13"/>
  <c r="T717" i="8"/>
  <c r="T157" i="8"/>
  <c r="U152" i="8" s="1"/>
  <c r="U155" i="8" s="1"/>
  <c r="U540" i="8" s="1"/>
  <c r="Q77" i="11"/>
  <c r="S60" i="13"/>
  <c r="T771" i="8"/>
  <c r="S55" i="14"/>
  <c r="T801" i="8"/>
  <c r="AB212" i="8"/>
  <c r="AA214" i="8"/>
  <c r="AA598" i="8" s="1"/>
  <c r="V163" i="8"/>
  <c r="U166" i="8"/>
  <c r="V161" i="8" s="1"/>
  <c r="V164" i="8" s="1"/>
  <c r="V549" i="8" s="1"/>
  <c r="X326" i="8"/>
  <c r="W329" i="8"/>
  <c r="X324" i="8" s="1"/>
  <c r="X327" i="8" s="1"/>
  <c r="X710" i="8" s="1"/>
  <c r="S85" i="12"/>
  <c r="G10" i="40" s="1"/>
  <c r="G27" i="40" l="1"/>
  <c r="G12" i="43"/>
  <c r="G47" i="39"/>
  <c r="G30" i="39"/>
  <c r="X296" i="8"/>
  <c r="R68" i="14"/>
  <c r="R77" i="14" s="1"/>
  <c r="F5" i="42"/>
  <c r="R66" i="13"/>
  <c r="R74" i="13" s="1"/>
  <c r="F5" i="41"/>
  <c r="X201" i="8"/>
  <c r="G47" i="40"/>
  <c r="G30" i="40"/>
  <c r="G47" i="42"/>
  <c r="G30" i="42"/>
  <c r="G10" i="43"/>
  <c r="G27" i="43" s="1"/>
  <c r="G27" i="39"/>
  <c r="V391" i="8"/>
  <c r="E29" i="39"/>
  <c r="E33" i="39"/>
  <c r="E52" i="39" s="1"/>
  <c r="E24" i="41"/>
  <c r="E28" i="41" s="1"/>
  <c r="E40" i="41"/>
  <c r="E42" i="41" s="1"/>
  <c r="E46" i="41" s="1"/>
  <c r="E50" i="41" s="1"/>
  <c r="E24" i="42"/>
  <c r="E28" i="42" s="1"/>
  <c r="E40" i="42"/>
  <c r="E42" i="42" s="1"/>
  <c r="E46" i="42" s="1"/>
  <c r="E50" i="42" s="1"/>
  <c r="G45" i="42"/>
  <c r="G45" i="41"/>
  <c r="E22" i="40"/>
  <c r="E7" i="40"/>
  <c r="E11" i="40" s="1"/>
  <c r="E15" i="40" s="1"/>
  <c r="E5" i="43"/>
  <c r="X328" i="8"/>
  <c r="V233" i="8"/>
  <c r="X138" i="8"/>
  <c r="V224" i="8"/>
  <c r="T837" i="8"/>
  <c r="T842" i="8" s="1"/>
  <c r="V392" i="8"/>
  <c r="W387" i="8" s="1"/>
  <c r="W390" i="8" s="1"/>
  <c r="W773" i="8" s="1"/>
  <c r="W389" i="8"/>
  <c r="T270" i="8"/>
  <c r="U265" i="8" s="1"/>
  <c r="U268" i="8" s="1"/>
  <c r="U652" i="8" s="1"/>
  <c r="U319" i="8"/>
  <c r="T858" i="8"/>
  <c r="S61" i="14"/>
  <c r="T855" i="8"/>
  <c r="U278" i="8"/>
  <c r="V276" i="8" s="1"/>
  <c r="U269" i="8"/>
  <c r="U353" i="8"/>
  <c r="T356" i="8"/>
  <c r="U351" i="8" s="1"/>
  <c r="U354" i="8" s="1"/>
  <c r="U737" i="8" s="1"/>
  <c r="T735" i="8"/>
  <c r="T738" i="8"/>
  <c r="S56" i="13"/>
  <c r="T786" i="8"/>
  <c r="T30" i="14" s="1"/>
  <c r="T78" i="14" s="1"/>
  <c r="T87" i="14" s="1"/>
  <c r="T40" i="11"/>
  <c r="T47" i="11" s="1"/>
  <c r="T76" i="11" s="1"/>
  <c r="T288" i="8"/>
  <c r="U283" i="8" s="1"/>
  <c r="U286" i="8" s="1"/>
  <c r="U670" i="8" s="1"/>
  <c r="U457" i="8"/>
  <c r="T460" i="8"/>
  <c r="U455" i="8" s="1"/>
  <c r="U458" i="8" s="1"/>
  <c r="U839" i="8" s="1"/>
  <c r="T183" i="8"/>
  <c r="U373" i="8"/>
  <c r="U374" i="8" s="1"/>
  <c r="V369" i="8" s="1"/>
  <c r="V372" i="8" s="1"/>
  <c r="V755" i="8" s="1"/>
  <c r="T47" i="13"/>
  <c r="T73" i="13" s="1"/>
  <c r="Y423" i="8"/>
  <c r="Z421" i="8" s="1"/>
  <c r="U192" i="8"/>
  <c r="U193" i="8" s="1"/>
  <c r="V188" i="8" s="1"/>
  <c r="V191" i="8" s="1"/>
  <c r="V576" i="8" s="1"/>
  <c r="V165" i="8"/>
  <c r="W163" i="8" s="1"/>
  <c r="U147" i="8"/>
  <c r="V145" i="8" s="1"/>
  <c r="S506" i="8"/>
  <c r="S33" i="11" s="1"/>
  <c r="S62" i="12"/>
  <c r="T671" i="8"/>
  <c r="T668" i="8"/>
  <c r="S61" i="11"/>
  <c r="T574" i="8"/>
  <c r="S60" i="11"/>
  <c r="T565" i="8"/>
  <c r="V475" i="8"/>
  <c r="U478" i="8"/>
  <c r="V473" i="8" s="1"/>
  <c r="V476" i="8" s="1"/>
  <c r="V857" i="8" s="1"/>
  <c r="U37" i="11"/>
  <c r="T48" i="12"/>
  <c r="T76" i="12" s="1"/>
  <c r="T85" i="12" s="1"/>
  <c r="AB474" i="8"/>
  <c r="AB379" i="8"/>
  <c r="AA189" i="8"/>
  <c r="T765" i="8"/>
  <c r="T762" i="8"/>
  <c r="U380" i="8"/>
  <c r="T383" i="8"/>
  <c r="U378" i="8" s="1"/>
  <c r="U381" i="8" s="1"/>
  <c r="U764" i="8" s="1"/>
  <c r="AB284" i="8"/>
  <c r="AB214" i="8"/>
  <c r="AB598" i="8" s="1"/>
  <c r="AC212" i="8"/>
  <c r="Q86" i="11"/>
  <c r="Q90" i="11" s="1"/>
  <c r="Q81" i="11"/>
  <c r="U156" i="8"/>
  <c r="AD388" i="8"/>
  <c r="T57" i="11"/>
  <c r="U538" i="8"/>
  <c r="AC248" i="8"/>
  <c r="T62" i="14"/>
  <c r="U864" i="8"/>
  <c r="T53" i="13"/>
  <c r="U708" i="8"/>
  <c r="AB334" i="8"/>
  <c r="R67" i="11"/>
  <c r="F5" i="39" s="1"/>
  <c r="S56" i="12"/>
  <c r="T614" i="8"/>
  <c r="T54" i="11"/>
  <c r="U511" i="8"/>
  <c r="U514" i="8"/>
  <c r="U515" i="8" s="1"/>
  <c r="U34" i="11" s="1"/>
  <c r="T58" i="11"/>
  <c r="U550" i="8"/>
  <c r="U551" i="8" s="1"/>
  <c r="U38" i="11" s="1"/>
  <c r="U547" i="8"/>
  <c r="T59" i="14"/>
  <c r="U837" i="8"/>
  <c r="U840" i="8"/>
  <c r="U841" i="8" s="1"/>
  <c r="T52" i="13"/>
  <c r="U702" i="8"/>
  <c r="U703" i="8" s="1"/>
  <c r="U34" i="13" s="1"/>
  <c r="U699" i="8"/>
  <c r="Z118" i="8"/>
  <c r="Z120" i="8" s="1"/>
  <c r="Y121" i="8"/>
  <c r="Z116" i="8" s="1"/>
  <c r="T664" i="8"/>
  <c r="Z403" i="8"/>
  <c r="Z405" i="8" s="1"/>
  <c r="Y406" i="8"/>
  <c r="Z401" i="8" s="1"/>
  <c r="T655" i="8"/>
  <c r="R86" i="14"/>
  <c r="R89" i="14" s="1"/>
  <c r="R80" i="14"/>
  <c r="AB239" i="8"/>
  <c r="V448" i="8"/>
  <c r="U451" i="8"/>
  <c r="V446" i="8" s="1"/>
  <c r="V449" i="8" s="1"/>
  <c r="V830" i="8" s="1"/>
  <c r="P52" i="34"/>
  <c r="P61" i="34" s="1"/>
  <c r="P46" i="34"/>
  <c r="S51" i="13"/>
  <c r="T693" i="8"/>
  <c r="T694" i="8" s="1"/>
  <c r="T33" i="13" s="1"/>
  <c r="T690" i="8"/>
  <c r="V240" i="8"/>
  <c r="U243" i="8"/>
  <c r="V238" i="8" s="1"/>
  <c r="V241" i="8" s="1"/>
  <c r="V625" i="8" s="1"/>
  <c r="T59" i="12"/>
  <c r="U641" i="8"/>
  <c r="U644" i="8"/>
  <c r="V430" i="8"/>
  <c r="U433" i="8"/>
  <c r="V428" i="8" s="1"/>
  <c r="V431" i="8" s="1"/>
  <c r="V812" i="8" s="1"/>
  <c r="V335" i="8"/>
  <c r="U338" i="8"/>
  <c r="V333" i="8" s="1"/>
  <c r="V336" i="8" s="1"/>
  <c r="V719" i="8" s="1"/>
  <c r="T58" i="13"/>
  <c r="U753" i="8"/>
  <c r="U756" i="8"/>
  <c r="U757" i="8" s="1"/>
  <c r="U40" i="13" s="1"/>
  <c r="V267" i="8"/>
  <c r="U270" i="8"/>
  <c r="V265" i="8" s="1"/>
  <c r="V268" i="8" s="1"/>
  <c r="V652" i="8" s="1"/>
  <c r="Z308" i="8"/>
  <c r="Z310" i="8" s="1"/>
  <c r="Y311" i="8"/>
  <c r="Z306" i="8" s="1"/>
  <c r="AB257" i="8"/>
  <c r="AC404" i="8"/>
  <c r="AC785" i="8" s="1"/>
  <c r="AD402" i="8"/>
  <c r="AC343" i="8"/>
  <c r="AB438" i="8"/>
  <c r="AB411" i="8"/>
  <c r="V439" i="8"/>
  <c r="U442" i="8"/>
  <c r="V437" i="8" s="1"/>
  <c r="V440" i="8" s="1"/>
  <c r="V821" i="8" s="1"/>
  <c r="O108" i="34"/>
  <c r="O109" i="34" s="1"/>
  <c r="O112" i="34" s="1"/>
  <c r="O64" i="34"/>
  <c r="AA309" i="8"/>
  <c r="AA692" i="8" s="1"/>
  <c r="AB307" i="8"/>
  <c r="T55" i="12"/>
  <c r="U608" i="8"/>
  <c r="U609" i="8" s="1"/>
  <c r="U35" i="12" s="1"/>
  <c r="U605" i="8"/>
  <c r="AB352" i="8"/>
  <c r="T749" i="8"/>
  <c r="T797" i="8"/>
  <c r="V258" i="8"/>
  <c r="U261" i="8"/>
  <c r="V256" i="8" s="1"/>
  <c r="V259" i="8" s="1"/>
  <c r="V643" i="8" s="1"/>
  <c r="AB465" i="8"/>
  <c r="AC221" i="8"/>
  <c r="Y486" i="8"/>
  <c r="V127" i="8"/>
  <c r="U130" i="8"/>
  <c r="V125" i="8" s="1"/>
  <c r="V128" i="8" s="1"/>
  <c r="V513" i="8" s="1"/>
  <c r="AC370" i="8"/>
  <c r="AD162" i="8"/>
  <c r="V364" i="8"/>
  <c r="T82" i="13"/>
  <c r="Y326" i="8"/>
  <c r="X329" i="8"/>
  <c r="Y324" i="8" s="1"/>
  <c r="Y327" i="8" s="1"/>
  <c r="Y710" i="8" s="1"/>
  <c r="T806" i="8"/>
  <c r="U805" i="8" s="1"/>
  <c r="U35" i="14" s="1"/>
  <c r="T776" i="8"/>
  <c r="U775" i="8" s="1"/>
  <c r="U42" i="13" s="1"/>
  <c r="T722" i="8"/>
  <c r="U721" i="8"/>
  <c r="U36" i="13" s="1"/>
  <c r="R67" i="12"/>
  <c r="AB293" i="8"/>
  <c r="T63" i="12"/>
  <c r="U677" i="8"/>
  <c r="U148" i="8"/>
  <c r="V143" i="8" s="1"/>
  <c r="V146" i="8" s="1"/>
  <c r="V531" i="8" s="1"/>
  <c r="T628" i="8"/>
  <c r="U627" i="8"/>
  <c r="U37" i="12" s="1"/>
  <c r="T534" i="8"/>
  <c r="U533" i="8" s="1"/>
  <c r="U36" i="11" s="1"/>
  <c r="AB447" i="8"/>
  <c r="AB119" i="8"/>
  <c r="AB504" i="8" s="1"/>
  <c r="AC117" i="8"/>
  <c r="AD144" i="8"/>
  <c r="T588" i="8"/>
  <c r="U587" i="8" s="1"/>
  <c r="U42" i="11" s="1"/>
  <c r="Y294" i="8"/>
  <c r="X297" i="8"/>
  <c r="Y292" i="8" s="1"/>
  <c r="Y295" i="8" s="1"/>
  <c r="Y679" i="8" s="1"/>
  <c r="AB483" i="8"/>
  <c r="AC456" i="8"/>
  <c r="AC171" i="8"/>
  <c r="S64" i="14"/>
  <c r="V344" i="8"/>
  <c r="U347" i="8"/>
  <c r="V342" i="8" s="1"/>
  <c r="V345" i="8" s="1"/>
  <c r="V728" i="8" s="1"/>
  <c r="T58" i="12"/>
  <c r="U632" i="8"/>
  <c r="Q42" i="34"/>
  <c r="S54" i="12"/>
  <c r="T599" i="8"/>
  <c r="T596" i="8"/>
  <c r="V412" i="8"/>
  <c r="U415" i="8"/>
  <c r="V410" i="8" s="1"/>
  <c r="V413" i="8" s="1"/>
  <c r="V794" i="8" s="1"/>
  <c r="Y424" i="8"/>
  <c r="Z419" i="8" s="1"/>
  <c r="Z422" i="8" s="1"/>
  <c r="Z803" i="8" s="1"/>
  <c r="Q86" i="34"/>
  <c r="Q88" i="34" s="1"/>
  <c r="Q153" i="34"/>
  <c r="Q154" i="34" s="1"/>
  <c r="Q157" i="34" s="1"/>
  <c r="AC135" i="8"/>
  <c r="AC153" i="8"/>
  <c r="W231" i="8"/>
  <c r="V234" i="8"/>
  <c r="W229" i="8" s="1"/>
  <c r="W232" i="8" s="1"/>
  <c r="W616" i="8" s="1"/>
  <c r="Y136" i="8"/>
  <c r="X139" i="8"/>
  <c r="Y134" i="8" s="1"/>
  <c r="Y137" i="8" s="1"/>
  <c r="Y522" i="8" s="1"/>
  <c r="AC180" i="8"/>
  <c r="V371" i="8"/>
  <c r="AB429" i="8"/>
  <c r="T731" i="8"/>
  <c r="W466" i="8"/>
  <c r="V469" i="8"/>
  <c r="W464" i="8" s="1"/>
  <c r="W467" i="8" s="1"/>
  <c r="W848" i="8" s="1"/>
  <c r="AB361" i="8"/>
  <c r="T58" i="14"/>
  <c r="U831" i="8"/>
  <c r="U828" i="8"/>
  <c r="AB266" i="8"/>
  <c r="O124" i="34"/>
  <c r="O125" i="34" s="1"/>
  <c r="O128" i="34" s="1"/>
  <c r="O68" i="34"/>
  <c r="T525" i="8"/>
  <c r="U524" i="8" s="1"/>
  <c r="U35" i="11" s="1"/>
  <c r="R83" i="13"/>
  <c r="R86" i="13" s="1"/>
  <c r="R77" i="13"/>
  <c r="Y199" i="8"/>
  <c r="X202" i="8"/>
  <c r="Y197" i="8" s="1"/>
  <c r="Y200" i="8" s="1"/>
  <c r="Y585" i="8" s="1"/>
  <c r="AD325" i="8"/>
  <c r="V249" i="8"/>
  <c r="U252" i="8"/>
  <c r="V247" i="8" s="1"/>
  <c r="V250" i="8" s="1"/>
  <c r="V634" i="8" s="1"/>
  <c r="T60" i="14"/>
  <c r="U846" i="8"/>
  <c r="U849" i="8"/>
  <c r="U850" i="8" s="1"/>
  <c r="U40" i="14" s="1"/>
  <c r="T85" i="14"/>
  <c r="AD126" i="8"/>
  <c r="Z213" i="8"/>
  <c r="Z215" i="8" s="1"/>
  <c r="Y216" i="8"/>
  <c r="Z211" i="8" s="1"/>
  <c r="V172" i="8"/>
  <c r="U175" i="8"/>
  <c r="V170" i="8" s="1"/>
  <c r="V173" i="8" s="1"/>
  <c r="V558" i="8" s="1"/>
  <c r="AC275" i="8"/>
  <c r="T57" i="14"/>
  <c r="U819" i="8"/>
  <c r="T561" i="8"/>
  <c r="AC198" i="8"/>
  <c r="AC420" i="8"/>
  <c r="T56" i="14"/>
  <c r="U810" i="8"/>
  <c r="AA230" i="8"/>
  <c r="R69" i="12" l="1"/>
  <c r="R77" i="12" s="1"/>
  <c r="F5" i="40"/>
  <c r="F5" i="43"/>
  <c r="F7" i="39"/>
  <c r="F11" i="39" s="1"/>
  <c r="F15" i="39" s="1"/>
  <c r="F22" i="39"/>
  <c r="E22" i="43"/>
  <c r="E7" i="43"/>
  <c r="E11" i="43" s="1"/>
  <c r="E15" i="43" s="1"/>
  <c r="E24" i="40"/>
  <c r="E28" i="40" s="1"/>
  <c r="E40" i="40"/>
  <c r="E42" i="40" s="1"/>
  <c r="E46" i="40" s="1"/>
  <c r="E50" i="40" s="1"/>
  <c r="E29" i="42"/>
  <c r="E33" i="42"/>
  <c r="E52" i="42" s="1"/>
  <c r="E29" i="41"/>
  <c r="E33" i="41"/>
  <c r="E52" i="41" s="1"/>
  <c r="G45" i="39"/>
  <c r="G45" i="43"/>
  <c r="F22" i="41"/>
  <c r="F7" i="41"/>
  <c r="F11" i="41" s="1"/>
  <c r="F15" i="41" s="1"/>
  <c r="F22" i="42"/>
  <c r="F7" i="42"/>
  <c r="F11" i="42" s="1"/>
  <c r="F15" i="42" s="1"/>
  <c r="G47" i="43"/>
  <c r="G30" i="43"/>
  <c r="G45" i="40"/>
  <c r="V225" i="8"/>
  <c r="W220" i="8" s="1"/>
  <c r="W223" i="8" s="1"/>
  <c r="W607" i="8" s="1"/>
  <c r="W222" i="8"/>
  <c r="W233" i="8"/>
  <c r="W391" i="8"/>
  <c r="U320" i="8"/>
  <c r="V315" i="8" s="1"/>
  <c r="V318" i="8" s="1"/>
  <c r="V701" i="8" s="1"/>
  <c r="V317" i="8"/>
  <c r="T85" i="11"/>
  <c r="T860" i="8"/>
  <c r="U859" i="8"/>
  <c r="U41" i="14" s="1"/>
  <c r="U279" i="8"/>
  <c r="V274" i="8" s="1"/>
  <c r="V277" i="8" s="1"/>
  <c r="V661" i="8" s="1"/>
  <c r="S62" i="13"/>
  <c r="S64" i="13" s="1"/>
  <c r="V190" i="8"/>
  <c r="V192" i="8" s="1"/>
  <c r="T787" i="8"/>
  <c r="T33" i="14" s="1"/>
  <c r="U355" i="8"/>
  <c r="U739" i="8"/>
  <c r="U38" i="13" s="1"/>
  <c r="T740" i="8"/>
  <c r="T31" i="12"/>
  <c r="T78" i="12" s="1"/>
  <c r="T87" i="12" s="1"/>
  <c r="T30" i="13"/>
  <c r="T75" i="13" s="1"/>
  <c r="T84" i="13" s="1"/>
  <c r="S65" i="12"/>
  <c r="S507" i="8"/>
  <c r="T505" i="8" s="1"/>
  <c r="T30" i="11" s="1"/>
  <c r="T78" i="11" s="1"/>
  <c r="T87" i="11" s="1"/>
  <c r="V166" i="8"/>
  <c r="W161" i="8" s="1"/>
  <c r="W164" i="8" s="1"/>
  <c r="W549" i="8" s="1"/>
  <c r="U287" i="8"/>
  <c r="U288" i="8" s="1"/>
  <c r="V283" i="8" s="1"/>
  <c r="V286" i="8" s="1"/>
  <c r="V670" i="8" s="1"/>
  <c r="V414" i="8"/>
  <c r="W412" i="8" s="1"/>
  <c r="V129" i="8"/>
  <c r="V130" i="8" s="1"/>
  <c r="W125" i="8" s="1"/>
  <c r="W128" i="8" s="1"/>
  <c r="W513" i="8" s="1"/>
  <c r="U39" i="14"/>
  <c r="Z423" i="8"/>
  <c r="Z424" i="8" s="1"/>
  <c r="AA419" i="8" s="1"/>
  <c r="AA422" i="8" s="1"/>
  <c r="AA803" i="8" s="1"/>
  <c r="U459" i="8"/>
  <c r="Y138" i="8"/>
  <c r="Z136" i="8" s="1"/>
  <c r="V432" i="8"/>
  <c r="V433" i="8" s="1"/>
  <c r="W428" i="8" s="1"/>
  <c r="W431" i="8" s="1"/>
  <c r="W812" i="8" s="1"/>
  <c r="T184" i="8"/>
  <c r="U179" i="8" s="1"/>
  <c r="U182" i="8" s="1"/>
  <c r="U567" i="8" s="1"/>
  <c r="U181" i="8"/>
  <c r="V269" i="8"/>
  <c r="V270" i="8" s="1"/>
  <c r="W265" i="8" s="1"/>
  <c r="W268" i="8" s="1"/>
  <c r="W652" i="8" s="1"/>
  <c r="V337" i="8"/>
  <c r="V338" i="8" s="1"/>
  <c r="W333" i="8" s="1"/>
  <c r="W336" i="8" s="1"/>
  <c r="W719" i="8" s="1"/>
  <c r="V477" i="8"/>
  <c r="V478" i="8" s="1"/>
  <c r="W473" i="8" s="1"/>
  <c r="W476" i="8" s="1"/>
  <c r="W857" i="8" s="1"/>
  <c r="T767" i="8"/>
  <c r="U766" i="8"/>
  <c r="U41" i="13" s="1"/>
  <c r="AB189" i="8"/>
  <c r="V285" i="8"/>
  <c r="Y201" i="8"/>
  <c r="Z199" i="8" s="1"/>
  <c r="W468" i="8"/>
  <c r="W469" i="8" s="1"/>
  <c r="X464" i="8" s="1"/>
  <c r="X467" i="8" s="1"/>
  <c r="X848" i="8" s="1"/>
  <c r="Y296" i="8"/>
  <c r="Z294" i="8" s="1"/>
  <c r="V147" i="8"/>
  <c r="V148" i="8" s="1"/>
  <c r="W143" i="8" s="1"/>
  <c r="W146" i="8" s="1"/>
  <c r="W531" i="8" s="1"/>
  <c r="AC284" i="8"/>
  <c r="U382" i="8"/>
  <c r="AC379" i="8"/>
  <c r="AC474" i="8"/>
  <c r="U569" i="8"/>
  <c r="T570" i="8"/>
  <c r="T579" i="8"/>
  <c r="U578" i="8"/>
  <c r="U41" i="11" s="1"/>
  <c r="T673" i="8"/>
  <c r="U672" i="8"/>
  <c r="U42" i="12" s="1"/>
  <c r="AD420" i="8"/>
  <c r="AB230" i="8"/>
  <c r="AD198" i="8"/>
  <c r="T59" i="11"/>
  <c r="U559" i="8"/>
  <c r="U560" i="8" s="1"/>
  <c r="U39" i="11" s="1"/>
  <c r="U556" i="8"/>
  <c r="U824" i="8"/>
  <c r="V823" i="8" s="1"/>
  <c r="V37" i="14" s="1"/>
  <c r="AD275" i="8"/>
  <c r="V174" i="8"/>
  <c r="AA213" i="8"/>
  <c r="AA215" i="8" s="1"/>
  <c r="Z216" i="8"/>
  <c r="AA211" i="8" s="1"/>
  <c r="V251" i="8"/>
  <c r="AC266" i="8"/>
  <c r="AC361" i="8"/>
  <c r="T55" i="13"/>
  <c r="U726" i="8"/>
  <c r="AD153" i="8"/>
  <c r="V346" i="8"/>
  <c r="AD171" i="8"/>
  <c r="AD456" i="8"/>
  <c r="AC483" i="8"/>
  <c r="AE144" i="8"/>
  <c r="R86" i="12"/>
  <c r="R89" i="12" s="1"/>
  <c r="R80" i="12"/>
  <c r="T60" i="13"/>
  <c r="U771" i="8"/>
  <c r="T55" i="14"/>
  <c r="U801" i="8"/>
  <c r="Y328" i="8"/>
  <c r="AE162" i="8"/>
  <c r="Z484" i="8"/>
  <c r="Y487" i="8"/>
  <c r="Z482" i="8" s="1"/>
  <c r="Z485" i="8" s="1"/>
  <c r="Z866" i="8" s="1"/>
  <c r="AD221" i="8"/>
  <c r="AC465" i="8"/>
  <c r="V260" i="8"/>
  <c r="T54" i="14"/>
  <c r="U795" i="8"/>
  <c r="U796" i="8" s="1"/>
  <c r="U34" i="14" s="1"/>
  <c r="U47" i="14" s="1"/>
  <c r="U76" i="14" s="1"/>
  <c r="U792" i="8"/>
  <c r="T57" i="13"/>
  <c r="U744" i="8"/>
  <c r="U747" i="8"/>
  <c r="U748" i="8" s="1"/>
  <c r="U39" i="13" s="1"/>
  <c r="U610" i="8"/>
  <c r="V441" i="8"/>
  <c r="AC411" i="8"/>
  <c r="AC438" i="8"/>
  <c r="AD343" i="8"/>
  <c r="V242" i="8"/>
  <c r="T695" i="8"/>
  <c r="P66" i="34"/>
  <c r="P62" i="34"/>
  <c r="V450" i="8"/>
  <c r="R44" i="34"/>
  <c r="T788" i="8"/>
  <c r="T60" i="12"/>
  <c r="U650" i="8"/>
  <c r="U653" i="8"/>
  <c r="U654" i="8" s="1"/>
  <c r="U40" i="12" s="1"/>
  <c r="AA403" i="8"/>
  <c r="AA405" i="8" s="1"/>
  <c r="Z406" i="8"/>
  <c r="AA401" i="8" s="1"/>
  <c r="T61" i="12"/>
  <c r="U659" i="8"/>
  <c r="U662" i="8"/>
  <c r="U663" i="8" s="1"/>
  <c r="U41" i="12" s="1"/>
  <c r="AA118" i="8"/>
  <c r="AA120" i="8" s="1"/>
  <c r="Z121" i="8"/>
  <c r="AA116" i="8" s="1"/>
  <c r="AC334" i="8"/>
  <c r="U543" i="8"/>
  <c r="V542" i="8" s="1"/>
  <c r="AE388" i="8"/>
  <c r="V154" i="8"/>
  <c r="U157" i="8"/>
  <c r="V152" i="8" s="1"/>
  <c r="V155" i="8" s="1"/>
  <c r="V540" i="8" s="1"/>
  <c r="Q41" i="34"/>
  <c r="AD212" i="8"/>
  <c r="AC214" i="8"/>
  <c r="AC598" i="8" s="1"/>
  <c r="T600" i="8"/>
  <c r="T34" i="12" s="1"/>
  <c r="U815" i="8"/>
  <c r="V814" i="8"/>
  <c r="V36" i="14" s="1"/>
  <c r="AE126" i="8"/>
  <c r="U851" i="8"/>
  <c r="AE325" i="8"/>
  <c r="R43" i="34"/>
  <c r="T55" i="11"/>
  <c r="U520" i="8"/>
  <c r="U833" i="8"/>
  <c r="V832" i="8"/>
  <c r="V38" i="14" s="1"/>
  <c r="U730" i="8"/>
  <c r="U37" i="13" s="1"/>
  <c r="AC429" i="8"/>
  <c r="V373" i="8"/>
  <c r="AD180" i="8"/>
  <c r="Y139" i="8"/>
  <c r="Z134" i="8" s="1"/>
  <c r="Z137" i="8" s="1"/>
  <c r="Z522" i="8" s="1"/>
  <c r="X231" i="8"/>
  <c r="W234" i="8"/>
  <c r="X229" i="8" s="1"/>
  <c r="X232" i="8" s="1"/>
  <c r="X616" i="8" s="1"/>
  <c r="AD135" i="8"/>
  <c r="V415" i="8"/>
  <c r="W410" i="8" s="1"/>
  <c r="W413" i="8" s="1"/>
  <c r="W794" i="8" s="1"/>
  <c r="Q139" i="34"/>
  <c r="Q140" i="34" s="1"/>
  <c r="Q143" i="34" s="1"/>
  <c r="Q74" i="34"/>
  <c r="Q81" i="34" s="1"/>
  <c r="Q83" i="34" s="1"/>
  <c r="U637" i="8"/>
  <c r="V636" i="8" s="1"/>
  <c r="V38" i="12" s="1"/>
  <c r="S66" i="14"/>
  <c r="T62" i="11"/>
  <c r="U583" i="8"/>
  <c r="AD117" i="8"/>
  <c r="AC119" i="8"/>
  <c r="AC504" i="8" s="1"/>
  <c r="AC447" i="8"/>
  <c r="S53" i="11"/>
  <c r="S64" i="11" s="1"/>
  <c r="T502" i="8"/>
  <c r="T56" i="11"/>
  <c r="U529" i="8"/>
  <c r="T57" i="12"/>
  <c r="U623" i="8"/>
  <c r="W145" i="8"/>
  <c r="W147" i="8" s="1"/>
  <c r="U682" i="8"/>
  <c r="V681" i="8" s="1"/>
  <c r="V43" i="12" s="1"/>
  <c r="AC293" i="8"/>
  <c r="S67" i="12"/>
  <c r="T54" i="13"/>
  <c r="U717" i="8"/>
  <c r="W362" i="8"/>
  <c r="V365" i="8"/>
  <c r="W360" i="8" s="1"/>
  <c r="W363" i="8" s="1"/>
  <c r="W746" i="8" s="1"/>
  <c r="AD370" i="8"/>
  <c r="AC352" i="8"/>
  <c r="AC307" i="8"/>
  <c r="AB309" i="8"/>
  <c r="AB692" i="8" s="1"/>
  <c r="AE402" i="8"/>
  <c r="AD404" i="8"/>
  <c r="AD785" i="8" s="1"/>
  <c r="AC257" i="8"/>
  <c r="AA308" i="8"/>
  <c r="AA310" i="8" s="1"/>
  <c r="Z311" i="8"/>
  <c r="AA306" i="8" s="1"/>
  <c r="U758" i="8"/>
  <c r="W335" i="8"/>
  <c r="W337" i="8" s="1"/>
  <c r="U646" i="8"/>
  <c r="V645" i="8"/>
  <c r="AC239" i="8"/>
  <c r="U704" i="8"/>
  <c r="U842" i="8"/>
  <c r="U552" i="8"/>
  <c r="U516" i="8"/>
  <c r="T619" i="8"/>
  <c r="R69" i="11"/>
  <c r="U713" i="8"/>
  <c r="U869" i="8"/>
  <c r="AD248" i="8"/>
  <c r="S69" i="12" l="1"/>
  <c r="S77" i="12" s="1"/>
  <c r="G5" i="40"/>
  <c r="S68" i="14"/>
  <c r="S77" i="14" s="1"/>
  <c r="G5" i="42"/>
  <c r="S66" i="13"/>
  <c r="S74" i="13" s="1"/>
  <c r="G5" i="41"/>
  <c r="F24" i="42"/>
  <c r="F28" i="42" s="1"/>
  <c r="F40" i="42"/>
  <c r="F42" i="42" s="1"/>
  <c r="F46" i="42" s="1"/>
  <c r="F50" i="42" s="1"/>
  <c r="F24" i="41"/>
  <c r="F28" i="41" s="1"/>
  <c r="F40" i="41"/>
  <c r="F42" i="41" s="1"/>
  <c r="F46" i="41" s="1"/>
  <c r="F50" i="41" s="1"/>
  <c r="E29" i="40"/>
  <c r="E33" i="40"/>
  <c r="E52" i="40" s="1"/>
  <c r="E40" i="43"/>
  <c r="E42" i="43" s="1"/>
  <c r="E46" i="43" s="1"/>
  <c r="E50" i="43" s="1"/>
  <c r="E24" i="43"/>
  <c r="E28" i="43" s="1"/>
  <c r="E29" i="43" s="1"/>
  <c r="E33" i="43" s="1"/>
  <c r="E52" i="43" s="1"/>
  <c r="F40" i="39"/>
  <c r="F42" i="39" s="1"/>
  <c r="F46" i="39" s="1"/>
  <c r="F50" i="39" s="1"/>
  <c r="F24" i="39"/>
  <c r="F28" i="39" s="1"/>
  <c r="F29" i="39" s="1"/>
  <c r="F33" i="39" s="1"/>
  <c r="F52" i="39" s="1"/>
  <c r="F22" i="43"/>
  <c r="F7" i="43"/>
  <c r="F11" i="43" s="1"/>
  <c r="F15" i="43" s="1"/>
  <c r="F22" i="40"/>
  <c r="F7" i="40"/>
  <c r="F11" i="40" s="1"/>
  <c r="F15" i="40" s="1"/>
  <c r="X233" i="8"/>
  <c r="W224" i="8"/>
  <c r="W392" i="8"/>
  <c r="X387" i="8" s="1"/>
  <c r="X390" i="8" s="1"/>
  <c r="X773" i="8" s="1"/>
  <c r="X389" i="8"/>
  <c r="W364" i="8"/>
  <c r="W414" i="8"/>
  <c r="V319" i="8"/>
  <c r="U855" i="8"/>
  <c r="U858" i="8"/>
  <c r="T61" i="14"/>
  <c r="V278" i="8"/>
  <c r="AA421" i="8"/>
  <c r="W165" i="8"/>
  <c r="U356" i="8"/>
  <c r="V351" i="8" s="1"/>
  <c r="V354" i="8" s="1"/>
  <c r="V737" i="8" s="1"/>
  <c r="V353" i="8"/>
  <c r="W430" i="8"/>
  <c r="W432" i="8" s="1"/>
  <c r="W433" i="8" s="1"/>
  <c r="X428" i="8" s="1"/>
  <c r="X431" i="8" s="1"/>
  <c r="X812" i="8" s="1"/>
  <c r="W267" i="8"/>
  <c r="W269" i="8" s="1"/>
  <c r="W270" i="8" s="1"/>
  <c r="X265" i="8" s="1"/>
  <c r="X268" i="8" s="1"/>
  <c r="X652" i="8" s="1"/>
  <c r="Y297" i="8"/>
  <c r="Z292" i="8" s="1"/>
  <c r="Z295" i="8" s="1"/>
  <c r="Z679" i="8" s="1"/>
  <c r="U735" i="8"/>
  <c r="T56" i="13"/>
  <c r="U738" i="8"/>
  <c r="X466" i="8"/>
  <c r="W127" i="8"/>
  <c r="W129" i="8" s="1"/>
  <c r="X127" i="8" s="1"/>
  <c r="Y202" i="8"/>
  <c r="Z197" i="8" s="1"/>
  <c r="Z200" i="8" s="1"/>
  <c r="Z585" i="8" s="1"/>
  <c r="W475" i="8"/>
  <c r="W477" i="8" s="1"/>
  <c r="V457" i="8"/>
  <c r="U460" i="8"/>
  <c r="V455" i="8" s="1"/>
  <c r="V458" i="8" s="1"/>
  <c r="V839" i="8" s="1"/>
  <c r="U40" i="11"/>
  <c r="U47" i="11" s="1"/>
  <c r="U76" i="11" s="1"/>
  <c r="U183" i="8"/>
  <c r="Z138" i="8"/>
  <c r="Z139" i="8" s="1"/>
  <c r="AA134" i="8" s="1"/>
  <c r="AA137" i="8" s="1"/>
  <c r="AA522" i="8" s="1"/>
  <c r="V287" i="8"/>
  <c r="V288" i="8" s="1"/>
  <c r="W283" i="8" s="1"/>
  <c r="W286" i="8" s="1"/>
  <c r="W670" i="8" s="1"/>
  <c r="U47" i="13"/>
  <c r="U73" i="13" s="1"/>
  <c r="U82" i="13" s="1"/>
  <c r="V156" i="8"/>
  <c r="V157" i="8" s="1"/>
  <c r="W152" i="8" s="1"/>
  <c r="W155" i="8" s="1"/>
  <c r="W540" i="8" s="1"/>
  <c r="T60" i="11"/>
  <c r="U565" i="8"/>
  <c r="AD379" i="8"/>
  <c r="W190" i="8"/>
  <c r="V193" i="8"/>
  <c r="W188" i="8" s="1"/>
  <c r="W191" i="8" s="1"/>
  <c r="W576" i="8" s="1"/>
  <c r="AC189" i="8"/>
  <c r="U668" i="8"/>
  <c r="T62" i="12"/>
  <c r="U671" i="8"/>
  <c r="U574" i="8"/>
  <c r="T61" i="11"/>
  <c r="AD474" i="8"/>
  <c r="V380" i="8"/>
  <c r="U383" i="8"/>
  <c r="V378" i="8" s="1"/>
  <c r="V381" i="8" s="1"/>
  <c r="V764" i="8" s="1"/>
  <c r="AD284" i="8"/>
  <c r="U762" i="8"/>
  <c r="U765" i="8"/>
  <c r="AE248" i="8"/>
  <c r="U62" i="14"/>
  <c r="V864" i="8"/>
  <c r="U53" i="13"/>
  <c r="V708" i="8"/>
  <c r="T56" i="12"/>
  <c r="U614" i="8"/>
  <c r="U58" i="11"/>
  <c r="V547" i="8"/>
  <c r="V550" i="8"/>
  <c r="V551" i="8" s="1"/>
  <c r="V38" i="11" s="1"/>
  <c r="U59" i="14"/>
  <c r="V840" i="8"/>
  <c r="V841" i="8" s="1"/>
  <c r="V837" i="8"/>
  <c r="AD239" i="8"/>
  <c r="V868" i="8"/>
  <c r="V42" i="14" s="1"/>
  <c r="V712" i="8"/>
  <c r="V35" i="13" s="1"/>
  <c r="R77" i="11"/>
  <c r="U618" i="8"/>
  <c r="U36" i="12" s="1"/>
  <c r="U48" i="12" s="1"/>
  <c r="U76" i="12" s="1"/>
  <c r="U59" i="12"/>
  <c r="V644" i="8"/>
  <c r="V641" i="8"/>
  <c r="X335" i="8"/>
  <c r="W338" i="8"/>
  <c r="X333" i="8" s="1"/>
  <c r="X336" i="8" s="1"/>
  <c r="X719" i="8" s="1"/>
  <c r="U58" i="13"/>
  <c r="V756" i="8"/>
  <c r="V757" i="8" s="1"/>
  <c r="V40" i="13" s="1"/>
  <c r="V753" i="8"/>
  <c r="X267" i="8"/>
  <c r="X269" i="8" s="1"/>
  <c r="AB308" i="8"/>
  <c r="AB310" i="8" s="1"/>
  <c r="AA311" i="8"/>
  <c r="AB306" i="8" s="1"/>
  <c r="AD257" i="8"/>
  <c r="AE404" i="8"/>
  <c r="AE785" i="8" s="1"/>
  <c r="AF402" i="8"/>
  <c r="AC309" i="8"/>
  <c r="AC692" i="8" s="1"/>
  <c r="AD307" i="8"/>
  <c r="AD293" i="8"/>
  <c r="U63" i="12"/>
  <c r="V677" i="8"/>
  <c r="X145" i="8"/>
  <c r="W148" i="8"/>
  <c r="X143" i="8" s="1"/>
  <c r="X146" i="8" s="1"/>
  <c r="X531" i="8" s="1"/>
  <c r="AD119" i="8"/>
  <c r="AD504" i="8" s="1"/>
  <c r="AE117" i="8"/>
  <c r="U588" i="8"/>
  <c r="V587" i="8" s="1"/>
  <c r="V42" i="11" s="1"/>
  <c r="S86" i="14"/>
  <c r="S89" i="14" s="1"/>
  <c r="S80" i="14"/>
  <c r="X412" i="8"/>
  <c r="W415" i="8"/>
  <c r="X410" i="8" s="1"/>
  <c r="X413" i="8" s="1"/>
  <c r="X794" i="8" s="1"/>
  <c r="AA423" i="8"/>
  <c r="AE180" i="8"/>
  <c r="U58" i="14"/>
  <c r="V831" i="8"/>
  <c r="V828" i="8"/>
  <c r="U60" i="14"/>
  <c r="V849" i="8"/>
  <c r="V850" i="8" s="1"/>
  <c r="V40" i="14" s="1"/>
  <c r="V846" i="8"/>
  <c r="AF126" i="8"/>
  <c r="Q52" i="34"/>
  <c r="Q61" i="34" s="1"/>
  <c r="Q46" i="34"/>
  <c r="V37" i="11"/>
  <c r="AF388" i="8"/>
  <c r="U57" i="11"/>
  <c r="V538" i="8"/>
  <c r="AB403" i="8"/>
  <c r="AB405" i="8" s="1"/>
  <c r="AA406" i="8"/>
  <c r="AB401" i="8" s="1"/>
  <c r="U655" i="8"/>
  <c r="T53" i="14"/>
  <c r="U786" i="8"/>
  <c r="U30" i="14" s="1"/>
  <c r="U78" i="14" s="1"/>
  <c r="U87" i="14" s="1"/>
  <c r="U783" i="8"/>
  <c r="P108" i="34"/>
  <c r="P109" i="34" s="1"/>
  <c r="P112" i="34" s="1"/>
  <c r="P64" i="34"/>
  <c r="S83" i="13"/>
  <c r="S86" i="13" s="1"/>
  <c r="S77" i="13"/>
  <c r="AE343" i="8"/>
  <c r="AD438" i="8"/>
  <c r="AD411" i="8"/>
  <c r="U85" i="14"/>
  <c r="W258" i="8"/>
  <c r="V261" i="8"/>
  <c r="W256" i="8" s="1"/>
  <c r="W259" i="8" s="1"/>
  <c r="W643" i="8" s="1"/>
  <c r="AD465" i="8"/>
  <c r="AE221" i="8"/>
  <c r="Z486" i="8"/>
  <c r="AF162" i="8"/>
  <c r="Z326" i="8"/>
  <c r="Y329" i="8"/>
  <c r="Z324" i="8" s="1"/>
  <c r="Z327" i="8" s="1"/>
  <c r="Z710" i="8" s="1"/>
  <c r="U806" i="8"/>
  <c r="V805" i="8" s="1"/>
  <c r="V35" i="14" s="1"/>
  <c r="U776" i="8"/>
  <c r="V775" i="8" s="1"/>
  <c r="V42" i="13" s="1"/>
  <c r="AF144" i="8"/>
  <c r="Z296" i="8"/>
  <c r="AD483" i="8"/>
  <c r="AE456" i="8"/>
  <c r="AE171" i="8"/>
  <c r="T601" i="8"/>
  <c r="X468" i="8"/>
  <c r="AD266" i="8"/>
  <c r="W249" i="8"/>
  <c r="V252" i="8"/>
  <c r="W247" i="8" s="1"/>
  <c r="W250" i="8" s="1"/>
  <c r="W634" i="8" s="1"/>
  <c r="AB213" i="8"/>
  <c r="AB215" i="8" s="1"/>
  <c r="AA216" i="8"/>
  <c r="AB211" i="8" s="1"/>
  <c r="AE275" i="8"/>
  <c r="AE198" i="8"/>
  <c r="AE420" i="8"/>
  <c r="U54" i="11"/>
  <c r="V514" i="8"/>
  <c r="V515" i="8" s="1"/>
  <c r="V34" i="11" s="1"/>
  <c r="V511" i="8"/>
  <c r="U52" i="13"/>
  <c r="V699" i="8"/>
  <c r="V702" i="8"/>
  <c r="V703" i="8" s="1"/>
  <c r="V34" i="13" s="1"/>
  <c r="AD352" i="8"/>
  <c r="AE370" i="8"/>
  <c r="X362" i="8"/>
  <c r="W365" i="8"/>
  <c r="X360" i="8" s="1"/>
  <c r="X363" i="8" s="1"/>
  <c r="X746" i="8" s="1"/>
  <c r="U722" i="8"/>
  <c r="V721" i="8"/>
  <c r="V36" i="13" s="1"/>
  <c r="S86" i="12"/>
  <c r="S89" i="12" s="1"/>
  <c r="S80" i="12"/>
  <c r="U628" i="8"/>
  <c r="V627" i="8"/>
  <c r="V37" i="12" s="1"/>
  <c r="U534" i="8"/>
  <c r="V533" i="8" s="1"/>
  <c r="V36" i="11" s="1"/>
  <c r="S67" i="11"/>
  <c r="G5" i="39" s="1"/>
  <c r="AD447" i="8"/>
  <c r="U58" i="12"/>
  <c r="V632" i="8"/>
  <c r="AE135" i="8"/>
  <c r="Y231" i="8"/>
  <c r="X234" i="8"/>
  <c r="Y229" i="8" s="1"/>
  <c r="Y232" i="8" s="1"/>
  <c r="Y616" i="8" s="1"/>
  <c r="AA136" i="8"/>
  <c r="W371" i="8"/>
  <c r="V374" i="8"/>
  <c r="W369" i="8" s="1"/>
  <c r="W372" i="8" s="1"/>
  <c r="W755" i="8" s="1"/>
  <c r="AD429" i="8"/>
  <c r="U525" i="8"/>
  <c r="V524" i="8" s="1"/>
  <c r="V35" i="11" s="1"/>
  <c r="R153" i="34"/>
  <c r="R154" i="34" s="1"/>
  <c r="R157" i="34" s="1"/>
  <c r="R86" i="34"/>
  <c r="R88" i="34" s="1"/>
  <c r="AF325" i="8"/>
  <c r="U56" i="14"/>
  <c r="V810" i="8"/>
  <c r="AD214" i="8"/>
  <c r="AD598" i="8" s="1"/>
  <c r="AE212" i="8"/>
  <c r="W154" i="8"/>
  <c r="W156" i="8" s="1"/>
  <c r="AD334" i="8"/>
  <c r="AB118" i="8"/>
  <c r="AB120" i="8" s="1"/>
  <c r="AA121" i="8"/>
  <c r="AB116" i="8" s="1"/>
  <c r="U664" i="8"/>
  <c r="R166" i="34"/>
  <c r="R167" i="34" s="1"/>
  <c r="R170" i="34" s="1"/>
  <c r="R91" i="34"/>
  <c r="R93" i="34" s="1"/>
  <c r="W448" i="8"/>
  <c r="V451" i="8"/>
  <c r="W446" i="8" s="1"/>
  <c r="W449" i="8" s="1"/>
  <c r="W830" i="8" s="1"/>
  <c r="P68" i="34"/>
  <c r="P124" i="34"/>
  <c r="P125" i="34" s="1"/>
  <c r="P128" i="34" s="1"/>
  <c r="T51" i="13"/>
  <c r="T62" i="13" s="1"/>
  <c r="U690" i="8"/>
  <c r="U693" i="8"/>
  <c r="W240" i="8"/>
  <c r="V243" i="8"/>
  <c r="W238" i="8" s="1"/>
  <c r="W241" i="8" s="1"/>
  <c r="W625" i="8" s="1"/>
  <c r="W439" i="8"/>
  <c r="V442" i="8"/>
  <c r="W437" i="8" s="1"/>
  <c r="W440" i="8" s="1"/>
  <c r="W821" i="8" s="1"/>
  <c r="U55" i="12"/>
  <c r="V605" i="8"/>
  <c r="V608" i="8"/>
  <c r="V609" i="8" s="1"/>
  <c r="V35" i="12" s="1"/>
  <c r="U749" i="8"/>
  <c r="U797" i="8"/>
  <c r="X163" i="8"/>
  <c r="W166" i="8"/>
  <c r="X161" i="8" s="1"/>
  <c r="X164" i="8" s="1"/>
  <c r="X549" i="8" s="1"/>
  <c r="R42" i="34"/>
  <c r="W344" i="8"/>
  <c r="V347" i="8"/>
  <c r="W342" i="8" s="1"/>
  <c r="W345" i="8" s="1"/>
  <c r="W728" i="8" s="1"/>
  <c r="AE153" i="8"/>
  <c r="U731" i="8"/>
  <c r="V730" i="8" s="1"/>
  <c r="V37" i="13" s="1"/>
  <c r="AD361" i="8"/>
  <c r="W172" i="8"/>
  <c r="V175" i="8"/>
  <c r="W170" i="8" s="1"/>
  <c r="W173" i="8" s="1"/>
  <c r="W558" i="8" s="1"/>
  <c r="U57" i="14"/>
  <c r="V819" i="8"/>
  <c r="U561" i="8"/>
  <c r="AC230" i="8"/>
  <c r="T506" i="8"/>
  <c r="T33" i="11" s="1"/>
  <c r="W346" i="8" l="1"/>
  <c r="W441" i="8"/>
  <c r="W242" i="8"/>
  <c r="G5" i="43"/>
  <c r="G7" i="39"/>
  <c r="G11" i="39" s="1"/>
  <c r="G15" i="39" s="1"/>
  <c r="G22" i="39"/>
  <c r="X364" i="8"/>
  <c r="X147" i="8"/>
  <c r="X337" i="8"/>
  <c r="F24" i="40"/>
  <c r="F28" i="40" s="1"/>
  <c r="F40" i="40"/>
  <c r="F42" i="40" s="1"/>
  <c r="F46" i="40" s="1"/>
  <c r="F50" i="40" s="1"/>
  <c r="F40" i="43"/>
  <c r="F42" i="43" s="1"/>
  <c r="F46" i="43" s="1"/>
  <c r="F50" i="43" s="1"/>
  <c r="F24" i="43"/>
  <c r="F28" i="43" s="1"/>
  <c r="F29" i="43" s="1"/>
  <c r="F33" i="43" s="1"/>
  <c r="F52" i="43" s="1"/>
  <c r="F29" i="41"/>
  <c r="F33" i="41"/>
  <c r="F52" i="41" s="1"/>
  <c r="F29" i="42"/>
  <c r="F33" i="42"/>
  <c r="F52" i="42" s="1"/>
  <c r="G22" i="41"/>
  <c r="G7" i="41"/>
  <c r="G11" i="41" s="1"/>
  <c r="G15" i="41" s="1"/>
  <c r="G22" i="42"/>
  <c r="G7" i="42"/>
  <c r="G11" i="42" s="1"/>
  <c r="G15" i="42" s="1"/>
  <c r="G22" i="40"/>
  <c r="G7" i="40"/>
  <c r="G11" i="40" s="1"/>
  <c r="G15" i="40" s="1"/>
  <c r="X414" i="8"/>
  <c r="X391" i="8"/>
  <c r="X392" i="8" s="1"/>
  <c r="Y387" i="8" s="1"/>
  <c r="Y390" i="8" s="1"/>
  <c r="Y773" i="8" s="1"/>
  <c r="X222" i="8"/>
  <c r="W225" i="8"/>
  <c r="X220" i="8" s="1"/>
  <c r="X223" i="8" s="1"/>
  <c r="X607" i="8" s="1"/>
  <c r="W174" i="8"/>
  <c r="W251" i="8"/>
  <c r="Y389" i="8"/>
  <c r="T64" i="14"/>
  <c r="T66" i="14" s="1"/>
  <c r="T68" i="14" s="1"/>
  <c r="T77" i="14" s="1"/>
  <c r="W317" i="8"/>
  <c r="V320" i="8"/>
  <c r="W315" i="8" s="1"/>
  <c r="W318" i="8" s="1"/>
  <c r="W701" i="8" s="1"/>
  <c r="U85" i="11"/>
  <c r="U860" i="8"/>
  <c r="V859" i="8"/>
  <c r="V41" i="14" s="1"/>
  <c r="W276" i="8"/>
  <c r="V279" i="8"/>
  <c r="W274" i="8" s="1"/>
  <c r="W277" i="8" s="1"/>
  <c r="W661" i="8" s="1"/>
  <c r="V355" i="8"/>
  <c r="W353" i="8" s="1"/>
  <c r="W130" i="8"/>
  <c r="X125" i="8" s="1"/>
  <c r="X128" i="8" s="1"/>
  <c r="X513" i="8" s="1"/>
  <c r="V39" i="14"/>
  <c r="U787" i="8"/>
  <c r="U33" i="14" s="1"/>
  <c r="W478" i="8"/>
  <c r="X473" i="8" s="1"/>
  <c r="X476" i="8" s="1"/>
  <c r="X857" i="8" s="1"/>
  <c r="X475" i="8"/>
  <c r="U740" i="8"/>
  <c r="V739" i="8"/>
  <c r="V38" i="13" s="1"/>
  <c r="X430" i="8"/>
  <c r="X432" i="8" s="1"/>
  <c r="Y430" i="8" s="1"/>
  <c r="Z201" i="8"/>
  <c r="AA199" i="8" s="1"/>
  <c r="W285" i="8"/>
  <c r="U30" i="13"/>
  <c r="U75" i="13" s="1"/>
  <c r="U84" i="13" s="1"/>
  <c r="V459" i="8"/>
  <c r="U184" i="8"/>
  <c r="V179" i="8" s="1"/>
  <c r="V182" i="8" s="1"/>
  <c r="V567" i="8" s="1"/>
  <c r="V181" i="8"/>
  <c r="V382" i="8"/>
  <c r="V383" i="8" s="1"/>
  <c r="W378" i="8" s="1"/>
  <c r="W381" i="8" s="1"/>
  <c r="W764" i="8" s="1"/>
  <c r="W192" i="8"/>
  <c r="X190" i="8" s="1"/>
  <c r="AE284" i="8"/>
  <c r="U579" i="8"/>
  <c r="V578" i="8"/>
  <c r="V41" i="11" s="1"/>
  <c r="AD189" i="8"/>
  <c r="Z328" i="8"/>
  <c r="Z329" i="8" s="1"/>
  <c r="AA324" i="8" s="1"/>
  <c r="AA327" i="8" s="1"/>
  <c r="AA710" i="8" s="1"/>
  <c r="W260" i="8"/>
  <c r="X258" i="8" s="1"/>
  <c r="U767" i="8"/>
  <c r="V766" i="8"/>
  <c r="V41" i="13" s="1"/>
  <c r="W287" i="8"/>
  <c r="AE474" i="8"/>
  <c r="U673" i="8"/>
  <c r="V672" i="8"/>
  <c r="V42" i="12" s="1"/>
  <c r="AE379" i="8"/>
  <c r="U570" i="8"/>
  <c r="V569" i="8"/>
  <c r="U59" i="11"/>
  <c r="V556" i="8"/>
  <c r="V559" i="8"/>
  <c r="V560" i="8" s="1"/>
  <c r="V39" i="11" s="1"/>
  <c r="X172" i="8"/>
  <c r="W175" i="8"/>
  <c r="X170" i="8" s="1"/>
  <c r="X173" i="8" s="1"/>
  <c r="X558" i="8" s="1"/>
  <c r="X439" i="8"/>
  <c r="W442" i="8"/>
  <c r="X437" i="8" s="1"/>
  <c r="X440" i="8" s="1"/>
  <c r="X821" i="8" s="1"/>
  <c r="V824" i="8"/>
  <c r="W823" i="8" s="1"/>
  <c r="W37" i="14" s="1"/>
  <c r="AE361" i="8"/>
  <c r="U55" i="13"/>
  <c r="V726" i="8"/>
  <c r="AF153" i="8"/>
  <c r="X344" i="8"/>
  <c r="W347" i="8"/>
  <c r="X342" i="8" s="1"/>
  <c r="X345" i="8" s="1"/>
  <c r="X728" i="8" s="1"/>
  <c r="X165" i="8"/>
  <c r="U54" i="14"/>
  <c r="V792" i="8"/>
  <c r="V795" i="8"/>
  <c r="V796" i="8" s="1"/>
  <c r="V34" i="14" s="1"/>
  <c r="V47" i="14" s="1"/>
  <c r="V76" i="14" s="1"/>
  <c r="U57" i="13"/>
  <c r="V747" i="8"/>
  <c r="V748" i="8" s="1"/>
  <c r="V39" i="13" s="1"/>
  <c r="V744" i="8"/>
  <c r="V610" i="8"/>
  <c r="T64" i="13"/>
  <c r="T66" i="13" s="1"/>
  <c r="T74" i="13" s="1"/>
  <c r="W450" i="8"/>
  <c r="U61" i="12"/>
  <c r="V662" i="8"/>
  <c r="V663" i="8" s="1"/>
  <c r="V41" i="12" s="1"/>
  <c r="V659" i="8"/>
  <c r="AC118" i="8"/>
  <c r="AC120" i="8" s="1"/>
  <c r="AB121" i="8"/>
  <c r="AC116" i="8" s="1"/>
  <c r="AE334" i="8"/>
  <c r="AF212" i="8"/>
  <c r="AE214" i="8"/>
  <c r="AE598" i="8" s="1"/>
  <c r="U55" i="11"/>
  <c r="V520" i="8"/>
  <c r="AE429" i="8"/>
  <c r="W373" i="8"/>
  <c r="AA138" i="8"/>
  <c r="Y233" i="8"/>
  <c r="V637" i="8"/>
  <c r="W636" i="8" s="1"/>
  <c r="W38" i="12" s="1"/>
  <c r="S69" i="11"/>
  <c r="AF370" i="8"/>
  <c r="V704" i="8"/>
  <c r="V516" i="8"/>
  <c r="AF420" i="8"/>
  <c r="AF275" i="8"/>
  <c r="AC213" i="8"/>
  <c r="AC215" i="8" s="1"/>
  <c r="AB216" i="8"/>
  <c r="AC211" i="8" s="1"/>
  <c r="X249" i="8"/>
  <c r="W252" i="8"/>
  <c r="X247" i="8" s="1"/>
  <c r="X250" i="8" s="1"/>
  <c r="X634" i="8" s="1"/>
  <c r="T54" i="12"/>
  <c r="T65" i="12" s="1"/>
  <c r="U596" i="8"/>
  <c r="U599" i="8"/>
  <c r="U31" i="12" s="1"/>
  <c r="U78" i="12" s="1"/>
  <c r="U87" i="12" s="1"/>
  <c r="AF171" i="8"/>
  <c r="AF456" i="8"/>
  <c r="AE483" i="8"/>
  <c r="AG144" i="8"/>
  <c r="AG162" i="8"/>
  <c r="AF343" i="8"/>
  <c r="S43" i="34"/>
  <c r="U788" i="8"/>
  <c r="U60" i="12"/>
  <c r="V653" i="8"/>
  <c r="V654" i="8" s="1"/>
  <c r="V40" i="12" s="1"/>
  <c r="V650" i="8"/>
  <c r="AC403" i="8"/>
  <c r="AC405" i="8" s="1"/>
  <c r="AB406" i="8"/>
  <c r="AC401" i="8" s="1"/>
  <c r="Q66" i="34"/>
  <c r="Q62" i="34"/>
  <c r="AG126" i="8"/>
  <c r="Z202" i="8"/>
  <c r="AA197" i="8" s="1"/>
  <c r="AA200" i="8" s="1"/>
  <c r="AA585" i="8" s="1"/>
  <c r="S44" i="34"/>
  <c r="U62" i="11"/>
  <c r="V583" i="8"/>
  <c r="AE307" i="8"/>
  <c r="AD309" i="8"/>
  <c r="AD692" i="8" s="1"/>
  <c r="AG402" i="8"/>
  <c r="AF404" i="8"/>
  <c r="AF785" i="8" s="1"/>
  <c r="AE257" i="8"/>
  <c r="AC308" i="8"/>
  <c r="AC310" i="8" s="1"/>
  <c r="AB311" i="8"/>
  <c r="AC306" i="8" s="1"/>
  <c r="Y267" i="8"/>
  <c r="X270" i="8"/>
  <c r="Y265" i="8" s="1"/>
  <c r="Y268" i="8" s="1"/>
  <c r="Y652" i="8" s="1"/>
  <c r="V758" i="8"/>
  <c r="V646" i="8"/>
  <c r="W645" i="8"/>
  <c r="V713" i="8"/>
  <c r="W712" i="8" s="1"/>
  <c r="W35" i="13" s="1"/>
  <c r="V869" i="8"/>
  <c r="W868" i="8" s="1"/>
  <c r="W42" i="14" s="1"/>
  <c r="AF248" i="8"/>
  <c r="AD230" i="8"/>
  <c r="R74" i="34"/>
  <c r="R81" i="34" s="1"/>
  <c r="R83" i="34" s="1"/>
  <c r="R139" i="34"/>
  <c r="R140" i="34" s="1"/>
  <c r="R143" i="34" s="1"/>
  <c r="X240" i="8"/>
  <c r="W243" i="8"/>
  <c r="X238" i="8" s="1"/>
  <c r="X241" i="8" s="1"/>
  <c r="X625" i="8" s="1"/>
  <c r="X154" i="8"/>
  <c r="W157" i="8"/>
  <c r="X152" i="8" s="1"/>
  <c r="X155" i="8" s="1"/>
  <c r="X540" i="8" s="1"/>
  <c r="V815" i="8"/>
  <c r="W814" i="8"/>
  <c r="W36" i="14" s="1"/>
  <c r="AG325" i="8"/>
  <c r="AF135" i="8"/>
  <c r="AE447" i="8"/>
  <c r="T507" i="8"/>
  <c r="U56" i="11"/>
  <c r="V529" i="8"/>
  <c r="U57" i="12"/>
  <c r="V623" i="8"/>
  <c r="S42" i="34"/>
  <c r="U54" i="13"/>
  <c r="V717" i="8"/>
  <c r="Y362" i="8"/>
  <c r="X365" i="8"/>
  <c r="Y360" i="8" s="1"/>
  <c r="Y363" i="8" s="1"/>
  <c r="Y746" i="8" s="1"/>
  <c r="AE352" i="8"/>
  <c r="AF198" i="8"/>
  <c r="AE266" i="8"/>
  <c r="Y466" i="8"/>
  <c r="X469" i="8"/>
  <c r="Y464" i="8" s="1"/>
  <c r="Y467" i="8" s="1"/>
  <c r="Y848" i="8" s="1"/>
  <c r="AA294" i="8"/>
  <c r="Z297" i="8"/>
  <c r="AA292" i="8" s="1"/>
  <c r="AA295" i="8" s="1"/>
  <c r="AA679" i="8" s="1"/>
  <c r="U60" i="13"/>
  <c r="V771" i="8"/>
  <c r="U55" i="14"/>
  <c r="V801" i="8"/>
  <c r="AA484" i="8"/>
  <c r="Z487" i="8"/>
  <c r="AA482" i="8" s="1"/>
  <c r="AA485" i="8" s="1"/>
  <c r="AA866" i="8" s="1"/>
  <c r="AF221" i="8"/>
  <c r="AE465" i="8"/>
  <c r="AE411" i="8"/>
  <c r="AE438" i="8"/>
  <c r="V543" i="8"/>
  <c r="W542" i="8" s="1"/>
  <c r="W37" i="11" s="1"/>
  <c r="AG388" i="8"/>
  <c r="V851" i="8"/>
  <c r="V833" i="8"/>
  <c r="W832" i="8"/>
  <c r="W38" i="14" s="1"/>
  <c r="AF180" i="8"/>
  <c r="AB421" i="8"/>
  <c r="AA424" i="8"/>
  <c r="AB419" i="8" s="1"/>
  <c r="AB422" i="8" s="1"/>
  <c r="AB803" i="8" s="1"/>
  <c r="Y412" i="8"/>
  <c r="X415" i="8"/>
  <c r="Y410" i="8" s="1"/>
  <c r="Y413" i="8" s="1"/>
  <c r="Y794" i="8" s="1"/>
  <c r="AF117" i="8"/>
  <c r="AE119" i="8"/>
  <c r="AE504" i="8" s="1"/>
  <c r="Y145" i="8"/>
  <c r="X148" i="8"/>
  <c r="Y143" i="8" s="1"/>
  <c r="Y146" i="8" s="1"/>
  <c r="Y531" i="8" s="1"/>
  <c r="V682" i="8"/>
  <c r="W681" i="8" s="1"/>
  <c r="W43" i="12" s="1"/>
  <c r="AE293" i="8"/>
  <c r="Y335" i="8"/>
  <c r="X338" i="8"/>
  <c r="Y333" i="8" s="1"/>
  <c r="Y336" i="8" s="1"/>
  <c r="Y719" i="8" s="1"/>
  <c r="X433" i="8"/>
  <c r="Y428" i="8" s="1"/>
  <c r="Y431" i="8" s="1"/>
  <c r="Y812" i="8" s="1"/>
  <c r="U85" i="12"/>
  <c r="R86" i="11"/>
  <c r="R90" i="11" s="1"/>
  <c r="R81" i="11"/>
  <c r="AE239" i="8"/>
  <c r="V842" i="8"/>
  <c r="V552" i="8"/>
  <c r="U619" i="8"/>
  <c r="U694" i="8"/>
  <c r="U33" i="13" s="1"/>
  <c r="X251" i="8" l="1"/>
  <c r="X441" i="8"/>
  <c r="X174" i="8"/>
  <c r="G40" i="40"/>
  <c r="G42" i="40" s="1"/>
  <c r="G46" i="40" s="1"/>
  <c r="G50" i="40" s="1"/>
  <c r="G24" i="40"/>
  <c r="G28" i="40" s="1"/>
  <c r="G40" i="42"/>
  <c r="G42" i="42" s="1"/>
  <c r="G46" i="42" s="1"/>
  <c r="G50" i="42" s="1"/>
  <c r="G24" i="42"/>
  <c r="G28" i="42" s="1"/>
  <c r="G40" i="41"/>
  <c r="G42" i="41" s="1"/>
  <c r="G46" i="41" s="1"/>
  <c r="G50" i="41" s="1"/>
  <c r="G24" i="41"/>
  <c r="G28" i="41" s="1"/>
  <c r="F29" i="40"/>
  <c r="F33" i="40"/>
  <c r="F52" i="40" s="1"/>
  <c r="G40" i="39"/>
  <c r="G42" i="39" s="1"/>
  <c r="G46" i="39" s="1"/>
  <c r="G50" i="39" s="1"/>
  <c r="G24" i="39"/>
  <c r="G28" i="39" s="1"/>
  <c r="G22" i="43"/>
  <c r="G7" i="43"/>
  <c r="G11" i="43" s="1"/>
  <c r="G15" i="43" s="1"/>
  <c r="X156" i="8"/>
  <c r="X242" i="8"/>
  <c r="X346" i="8"/>
  <c r="X224" i="8"/>
  <c r="X129" i="8"/>
  <c r="W193" i="8"/>
  <c r="X188" i="8" s="1"/>
  <c r="X191" i="8" s="1"/>
  <c r="X576" i="8" s="1"/>
  <c r="V356" i="8"/>
  <c r="W351" i="8" s="1"/>
  <c r="W354" i="8" s="1"/>
  <c r="W737" i="8" s="1"/>
  <c r="W319" i="8"/>
  <c r="W320" i="8" s="1"/>
  <c r="X315" i="8" s="1"/>
  <c r="X318" i="8" s="1"/>
  <c r="X701" i="8" s="1"/>
  <c r="Y391" i="8"/>
  <c r="X317" i="8"/>
  <c r="X319" i="8" s="1"/>
  <c r="W380" i="8"/>
  <c r="W278" i="8"/>
  <c r="V858" i="8"/>
  <c r="U61" i="14"/>
  <c r="V855" i="8"/>
  <c r="X477" i="8"/>
  <c r="Y475" i="8" s="1"/>
  <c r="AA326" i="8"/>
  <c r="AA328" i="8" s="1"/>
  <c r="AB326" i="8" s="1"/>
  <c r="W261" i="8"/>
  <c r="X256" i="8" s="1"/>
  <c r="X259" i="8" s="1"/>
  <c r="X643" i="8" s="1"/>
  <c r="W355" i="8"/>
  <c r="U56" i="13"/>
  <c r="V735" i="8"/>
  <c r="V738" i="8"/>
  <c r="V47" i="13"/>
  <c r="V73" i="13" s="1"/>
  <c r="AA486" i="8"/>
  <c r="AB484" i="8" s="1"/>
  <c r="AA296" i="8"/>
  <c r="Y468" i="8"/>
  <c r="Z466" i="8" s="1"/>
  <c r="W457" i="8"/>
  <c r="V460" i="8"/>
  <c r="W455" i="8" s="1"/>
  <c r="W458" i="8" s="1"/>
  <c r="W839" i="8" s="1"/>
  <c r="V40" i="11"/>
  <c r="V47" i="11" s="1"/>
  <c r="V76" i="11" s="1"/>
  <c r="V183" i="8"/>
  <c r="W382" i="8"/>
  <c r="W383" i="8" s="1"/>
  <c r="X378" i="8" s="1"/>
  <c r="X381" i="8" s="1"/>
  <c r="X764" i="8" s="1"/>
  <c r="Y337" i="8"/>
  <c r="Y338" i="8" s="1"/>
  <c r="Z333" i="8" s="1"/>
  <c r="Z336" i="8" s="1"/>
  <c r="Z719" i="8" s="1"/>
  <c r="Y414" i="8"/>
  <c r="AB423" i="8"/>
  <c r="AB424" i="8" s="1"/>
  <c r="AC419" i="8" s="1"/>
  <c r="AC422" i="8" s="1"/>
  <c r="AC803" i="8" s="1"/>
  <c r="X285" i="8"/>
  <c r="W288" i="8"/>
  <c r="X283" i="8" s="1"/>
  <c r="X286" i="8" s="1"/>
  <c r="X670" i="8" s="1"/>
  <c r="V765" i="8"/>
  <c r="V762" i="8"/>
  <c r="AE189" i="8"/>
  <c r="U61" i="11"/>
  <c r="V574" i="8"/>
  <c r="U60" i="11"/>
  <c r="V565" i="8"/>
  <c r="AF379" i="8"/>
  <c r="U62" i="12"/>
  <c r="V671" i="8"/>
  <c r="V668" i="8"/>
  <c r="AF474" i="8"/>
  <c r="AF284" i="8"/>
  <c r="V82" i="13"/>
  <c r="U56" i="12"/>
  <c r="V614" i="8"/>
  <c r="V58" i="11"/>
  <c r="W550" i="8"/>
  <c r="W551" i="8" s="1"/>
  <c r="W38" i="11" s="1"/>
  <c r="W547" i="8"/>
  <c r="V59" i="14"/>
  <c r="W837" i="8"/>
  <c r="W840" i="8"/>
  <c r="W841" i="8" s="1"/>
  <c r="V618" i="8"/>
  <c r="V36" i="12" s="1"/>
  <c r="V48" i="12" s="1"/>
  <c r="V76" i="12" s="1"/>
  <c r="AF239" i="8"/>
  <c r="R41" i="34"/>
  <c r="Y432" i="8"/>
  <c r="AF119" i="8"/>
  <c r="AF504" i="8" s="1"/>
  <c r="AG117" i="8"/>
  <c r="AG180" i="8"/>
  <c r="V58" i="14"/>
  <c r="W831" i="8"/>
  <c r="W828" i="8"/>
  <c r="V60" i="14"/>
  <c r="W846" i="8"/>
  <c r="W849" i="8"/>
  <c r="W850" i="8" s="1"/>
  <c r="W40" i="14" s="1"/>
  <c r="AF438" i="8"/>
  <c r="AF411" i="8"/>
  <c r="V806" i="8"/>
  <c r="W805" i="8" s="1"/>
  <c r="W35" i="14" s="1"/>
  <c r="V776" i="8"/>
  <c r="W775" i="8" s="1"/>
  <c r="W42" i="13" s="1"/>
  <c r="AF266" i="8"/>
  <c r="Y364" i="8"/>
  <c r="Y240" i="8"/>
  <c r="X243" i="8"/>
  <c r="Y238" i="8" s="1"/>
  <c r="Y241" i="8" s="1"/>
  <c r="Y625" i="8" s="1"/>
  <c r="AG248" i="8"/>
  <c r="V62" i="14"/>
  <c r="W864" i="8"/>
  <c r="V53" i="13"/>
  <c r="W708" i="8"/>
  <c r="V59" i="12"/>
  <c r="W641" i="8"/>
  <c r="W644" i="8"/>
  <c r="V58" i="13"/>
  <c r="W753" i="8"/>
  <c r="W756" i="8"/>
  <c r="W757" i="8" s="1"/>
  <c r="W40" i="13" s="1"/>
  <c r="Y269" i="8"/>
  <c r="AD308" i="8"/>
  <c r="AD310" i="8" s="1"/>
  <c r="AC311" i="8"/>
  <c r="AD306" i="8" s="1"/>
  <c r="AF257" i="8"/>
  <c r="AG404" i="8"/>
  <c r="AG785" i="8" s="1"/>
  <c r="AH402" i="8"/>
  <c r="AA201" i="8"/>
  <c r="Q108" i="34"/>
  <c r="Q109" i="34" s="1"/>
  <c r="Q112" i="34" s="1"/>
  <c r="Q64" i="34"/>
  <c r="AD403" i="8"/>
  <c r="AD405" i="8" s="1"/>
  <c r="AC406" i="8"/>
  <c r="AD401" i="8" s="1"/>
  <c r="T86" i="14"/>
  <c r="T89" i="14" s="1"/>
  <c r="T80" i="14"/>
  <c r="AH162" i="8"/>
  <c r="AH144" i="8"/>
  <c r="AF483" i="8"/>
  <c r="AG456" i="8"/>
  <c r="U600" i="8"/>
  <c r="U34" i="12" s="1"/>
  <c r="AG275" i="8"/>
  <c r="AG370" i="8"/>
  <c r="S77" i="11"/>
  <c r="Z231" i="8"/>
  <c r="Y234" i="8"/>
  <c r="Z229" i="8" s="1"/>
  <c r="Z232" i="8" s="1"/>
  <c r="Z616" i="8" s="1"/>
  <c r="X371" i="8"/>
  <c r="W374" i="8"/>
  <c r="X369" i="8" s="1"/>
  <c r="X372" i="8" s="1"/>
  <c r="X755" i="8" s="1"/>
  <c r="AF429" i="8"/>
  <c r="V525" i="8"/>
  <c r="W524" i="8" s="1"/>
  <c r="W35" i="11" s="1"/>
  <c r="AF214" i="8"/>
  <c r="AF598" i="8" s="1"/>
  <c r="AG212" i="8"/>
  <c r="V664" i="8"/>
  <c r="T83" i="13"/>
  <c r="T86" i="13" s="1"/>
  <c r="T77" i="13"/>
  <c r="V749" i="8"/>
  <c r="V797" i="8"/>
  <c r="Y163" i="8"/>
  <c r="X166" i="8"/>
  <c r="Y161" i="8" s="1"/>
  <c r="Y164" i="8" s="1"/>
  <c r="Y549" i="8" s="1"/>
  <c r="AG153" i="8"/>
  <c r="V57" i="14"/>
  <c r="W819" i="8"/>
  <c r="Y172" i="8"/>
  <c r="X175" i="8"/>
  <c r="Y170" i="8" s="1"/>
  <c r="Y173" i="8" s="1"/>
  <c r="Y558" i="8" s="1"/>
  <c r="V561" i="8"/>
  <c r="AF293" i="8"/>
  <c r="V63" i="12"/>
  <c r="W677" i="8"/>
  <c r="Y147" i="8"/>
  <c r="Z412" i="8"/>
  <c r="Y415" i="8"/>
  <c r="Z410" i="8" s="1"/>
  <c r="Z413" i="8" s="1"/>
  <c r="Z794" i="8" s="1"/>
  <c r="AH388" i="8"/>
  <c r="V57" i="11"/>
  <c r="W538" i="8"/>
  <c r="AF465" i="8"/>
  <c r="AG221" i="8"/>
  <c r="AB294" i="8"/>
  <c r="AA297" i="8"/>
  <c r="AB292" i="8" s="1"/>
  <c r="AB295" i="8" s="1"/>
  <c r="AB679" i="8" s="1"/>
  <c r="Y469" i="8"/>
  <c r="Z464" i="8" s="1"/>
  <c r="Z467" i="8" s="1"/>
  <c r="Z848" i="8" s="1"/>
  <c r="AG198" i="8"/>
  <c r="AF352" i="8"/>
  <c r="V722" i="8"/>
  <c r="W721" i="8"/>
  <c r="W36" i="13" s="1"/>
  <c r="S139" i="34"/>
  <c r="S140" i="34" s="1"/>
  <c r="S143" i="34" s="1"/>
  <c r="N144" i="34" s="1"/>
  <c r="S74" i="34"/>
  <c r="S81" i="34" s="1"/>
  <c r="S83" i="34" s="1"/>
  <c r="V628" i="8"/>
  <c r="W627" i="8"/>
  <c r="W37" i="12" s="1"/>
  <c r="V534" i="8"/>
  <c r="W533" i="8" s="1"/>
  <c r="W36" i="11" s="1"/>
  <c r="T53" i="11"/>
  <c r="T64" i="11" s="1"/>
  <c r="U502" i="8"/>
  <c r="U505" i="8"/>
  <c r="U30" i="11" s="1"/>
  <c r="U78" i="11" s="1"/>
  <c r="U87" i="11" s="1"/>
  <c r="AF447" i="8"/>
  <c r="AG135" i="8"/>
  <c r="AH325" i="8"/>
  <c r="V56" i="14"/>
  <c r="W810" i="8"/>
  <c r="Y154" i="8"/>
  <c r="X157" i="8"/>
  <c r="Y152" i="8" s="1"/>
  <c r="Y155" i="8" s="1"/>
  <c r="Y540" i="8" s="1"/>
  <c r="AE230" i="8"/>
  <c r="AE309" i="8"/>
  <c r="AE692" i="8" s="1"/>
  <c r="AF307" i="8"/>
  <c r="V588" i="8"/>
  <c r="W587" i="8" s="1"/>
  <c r="W42" i="11" s="1"/>
  <c r="S166" i="34"/>
  <c r="S167" i="34" s="1"/>
  <c r="S170" i="34" s="1"/>
  <c r="N171" i="34" s="1"/>
  <c r="S91" i="34"/>
  <c r="S93" i="34" s="1"/>
  <c r="AH126" i="8"/>
  <c r="Q124" i="34"/>
  <c r="Q125" i="34" s="1"/>
  <c r="Q128" i="34" s="1"/>
  <c r="Q68" i="34"/>
  <c r="V655" i="8"/>
  <c r="U53" i="14"/>
  <c r="U64" i="14" s="1"/>
  <c r="V783" i="8"/>
  <c r="V786" i="8"/>
  <c r="V30" i="14" s="1"/>
  <c r="V78" i="14" s="1"/>
  <c r="V87" i="14" s="1"/>
  <c r="S153" i="34"/>
  <c r="S154" i="34" s="1"/>
  <c r="S157" i="34" s="1"/>
  <c r="N158" i="34" s="1"/>
  <c r="S86" i="34"/>
  <c r="S88" i="34" s="1"/>
  <c r="AG343" i="8"/>
  <c r="AG171" i="8"/>
  <c r="T67" i="12"/>
  <c r="T69" i="12" s="1"/>
  <c r="T77" i="12" s="1"/>
  <c r="Y249" i="8"/>
  <c r="X252" i="8"/>
  <c r="Y247" i="8" s="1"/>
  <c r="Y250" i="8" s="1"/>
  <c r="Y634" i="8" s="1"/>
  <c r="AD213" i="8"/>
  <c r="AD215" i="8" s="1"/>
  <c r="AC216" i="8"/>
  <c r="AD211" i="8" s="1"/>
  <c r="AG420" i="8"/>
  <c r="V54" i="11"/>
  <c r="W511" i="8"/>
  <c r="W514" i="8"/>
  <c r="W515" i="8" s="1"/>
  <c r="W34" i="11" s="1"/>
  <c r="V52" i="13"/>
  <c r="W702" i="8"/>
  <c r="W703" i="8" s="1"/>
  <c r="W34" i="13" s="1"/>
  <c r="W699" i="8"/>
  <c r="V58" i="12"/>
  <c r="W632" i="8"/>
  <c r="AB136" i="8"/>
  <c r="AA139" i="8"/>
  <c r="AB134" i="8" s="1"/>
  <c r="AB137" i="8" s="1"/>
  <c r="AB522" i="8" s="1"/>
  <c r="AF334" i="8"/>
  <c r="AD118" i="8"/>
  <c r="AD120" i="8" s="1"/>
  <c r="AC121" i="8"/>
  <c r="AD116" i="8" s="1"/>
  <c r="X448" i="8"/>
  <c r="W451" i="8"/>
  <c r="X446" i="8" s="1"/>
  <c r="X449" i="8" s="1"/>
  <c r="X830" i="8" s="1"/>
  <c r="V55" i="12"/>
  <c r="W608" i="8"/>
  <c r="W609" i="8" s="1"/>
  <c r="W35" i="12" s="1"/>
  <c r="W605" i="8"/>
  <c r="V85" i="14"/>
  <c r="Y344" i="8"/>
  <c r="X347" i="8"/>
  <c r="Y342" i="8" s="1"/>
  <c r="Y345" i="8" s="1"/>
  <c r="Y728" i="8" s="1"/>
  <c r="V731" i="8"/>
  <c r="W730" i="8" s="1"/>
  <c r="W37" i="13" s="1"/>
  <c r="AF361" i="8"/>
  <c r="U695" i="8"/>
  <c r="Y439" i="8"/>
  <c r="X442" i="8"/>
  <c r="Y437" i="8" s="1"/>
  <c r="Y440" i="8" s="1"/>
  <c r="Y821" i="8" s="1"/>
  <c r="G40" i="43" l="1"/>
  <c r="G42" i="43" s="1"/>
  <c r="G46" i="43" s="1"/>
  <c r="G50" i="43" s="1"/>
  <c r="G24" i="43"/>
  <c r="G28" i="43" s="1"/>
  <c r="G29" i="39"/>
  <c r="G33" i="39"/>
  <c r="G52" i="39" s="1"/>
  <c r="G54" i="39" s="1"/>
  <c r="G29" i="41"/>
  <c r="G33" i="41"/>
  <c r="G52" i="41" s="1"/>
  <c r="G54" i="41" s="1"/>
  <c r="G29" i="42"/>
  <c r="G33" i="42"/>
  <c r="G52" i="42" s="1"/>
  <c r="G54" i="42" s="1"/>
  <c r="G29" i="40"/>
  <c r="G33" i="40"/>
  <c r="G52" i="40" s="1"/>
  <c r="G54" i="40" s="1"/>
  <c r="X225" i="8"/>
  <c r="Y220" i="8" s="1"/>
  <c r="Y223" i="8" s="1"/>
  <c r="Y607" i="8" s="1"/>
  <c r="Y222" i="8"/>
  <c r="X130" i="8"/>
  <c r="Y125" i="8" s="1"/>
  <c r="Y128" i="8" s="1"/>
  <c r="Y513" i="8" s="1"/>
  <c r="Y127" i="8"/>
  <c r="W39" i="14"/>
  <c r="X260" i="8"/>
  <c r="Y258" i="8" s="1"/>
  <c r="X192" i="8"/>
  <c r="W459" i="8"/>
  <c r="Z389" i="8"/>
  <c r="Y392" i="8"/>
  <c r="Z387" i="8" s="1"/>
  <c r="Z390" i="8" s="1"/>
  <c r="Z773" i="8" s="1"/>
  <c r="Y317" i="8"/>
  <c r="X320" i="8"/>
  <c r="Y315" i="8" s="1"/>
  <c r="Y318" i="8" s="1"/>
  <c r="Y701" i="8" s="1"/>
  <c r="V85" i="11"/>
  <c r="X276" i="8"/>
  <c r="W279" i="8"/>
  <c r="X274" i="8" s="1"/>
  <c r="X277" i="8" s="1"/>
  <c r="X661" i="8" s="1"/>
  <c r="W859" i="8"/>
  <c r="W41" i="14" s="1"/>
  <c r="V860" i="8"/>
  <c r="X478" i="8"/>
  <c r="Y473" i="8" s="1"/>
  <c r="Y476" i="8" s="1"/>
  <c r="X261" i="8"/>
  <c r="Y256" i="8" s="1"/>
  <c r="Y259" i="8" s="1"/>
  <c r="Y643" i="8" s="1"/>
  <c r="AA487" i="8"/>
  <c r="AB482" i="8" s="1"/>
  <c r="AB485" i="8" s="1"/>
  <c r="AB866" i="8" s="1"/>
  <c r="Z335" i="8"/>
  <c r="V740" i="8"/>
  <c r="W739" i="8"/>
  <c r="W38" i="13" s="1"/>
  <c r="X380" i="8"/>
  <c r="X382" i="8" s="1"/>
  <c r="W356" i="8"/>
  <c r="X351" i="8" s="1"/>
  <c r="X354" i="8" s="1"/>
  <c r="X737" i="8" s="1"/>
  <c r="X353" i="8"/>
  <c r="AA329" i="8"/>
  <c r="AB324" i="8" s="1"/>
  <c r="AB327" i="8" s="1"/>
  <c r="AB710" i="8" s="1"/>
  <c r="AC421" i="8"/>
  <c r="AC423" i="8" s="1"/>
  <c r="Y441" i="8"/>
  <c r="Y442" i="8" s="1"/>
  <c r="Z437" i="8" s="1"/>
  <c r="Z440" i="8" s="1"/>
  <c r="Z821" i="8" s="1"/>
  <c r="X457" i="8"/>
  <c r="W460" i="8"/>
  <c r="X455" i="8" s="1"/>
  <c r="X458" i="8" s="1"/>
  <c r="X839" i="8" s="1"/>
  <c r="V184" i="8"/>
  <c r="W179" i="8" s="1"/>
  <c r="W182" i="8" s="1"/>
  <c r="W567" i="8" s="1"/>
  <c r="W181" i="8"/>
  <c r="X287" i="8"/>
  <c r="Y285" i="8" s="1"/>
  <c r="Y346" i="8"/>
  <c r="Z344" i="8" s="1"/>
  <c r="Y156" i="8"/>
  <c r="Z154" i="8" s="1"/>
  <c r="U506" i="8"/>
  <c r="U33" i="11" s="1"/>
  <c r="Y174" i="8"/>
  <c r="Y175" i="8" s="1"/>
  <c r="Z170" i="8" s="1"/>
  <c r="Z173" i="8" s="1"/>
  <c r="Z558" i="8" s="1"/>
  <c r="X373" i="8"/>
  <c r="Y371" i="8" s="1"/>
  <c r="Z233" i="8"/>
  <c r="AA231" i="8" s="1"/>
  <c r="AB138" i="8"/>
  <c r="AB139" i="8" s="1"/>
  <c r="AC134" i="8" s="1"/>
  <c r="AC137" i="8" s="1"/>
  <c r="AC522" i="8" s="1"/>
  <c r="U601" i="8"/>
  <c r="V599" i="8" s="1"/>
  <c r="V31" i="12" s="1"/>
  <c r="V78" i="12" s="1"/>
  <c r="V87" i="12" s="1"/>
  <c r="AG284" i="8"/>
  <c r="V570" i="8"/>
  <c r="W569" i="8"/>
  <c r="V579" i="8"/>
  <c r="W578" i="8"/>
  <c r="W41" i="11" s="1"/>
  <c r="AF189" i="8"/>
  <c r="V767" i="8"/>
  <c r="W766" i="8"/>
  <c r="W41" i="13" s="1"/>
  <c r="AG474" i="8"/>
  <c r="V673" i="8"/>
  <c r="W672" i="8"/>
  <c r="W42" i="12" s="1"/>
  <c r="AG379" i="8"/>
  <c r="U51" i="13"/>
  <c r="U62" i="13" s="1"/>
  <c r="V693" i="8"/>
  <c r="V30" i="13" s="1"/>
  <c r="V75" i="13" s="1"/>
  <c r="V84" i="13" s="1"/>
  <c r="V690" i="8"/>
  <c r="W610" i="8"/>
  <c r="X450" i="8"/>
  <c r="AE118" i="8"/>
  <c r="AE120" i="8" s="1"/>
  <c r="AD121" i="8"/>
  <c r="AE116" i="8" s="1"/>
  <c r="AG334" i="8"/>
  <c r="W637" i="8"/>
  <c r="X636" i="8" s="1"/>
  <c r="X38" i="12" s="1"/>
  <c r="W704" i="8"/>
  <c r="W516" i="8"/>
  <c r="AH420" i="8"/>
  <c r="AE213" i="8"/>
  <c r="AE215" i="8" s="1"/>
  <c r="AD216" i="8"/>
  <c r="AE211" i="8" s="1"/>
  <c r="Y251" i="8"/>
  <c r="AH343" i="8"/>
  <c r="AI126" i="8"/>
  <c r="V62" i="11"/>
  <c r="W583" i="8"/>
  <c r="W815" i="8"/>
  <c r="X814" i="8"/>
  <c r="X36" i="14" s="1"/>
  <c r="AI325" i="8"/>
  <c r="AG447" i="8"/>
  <c r="T67" i="11"/>
  <c r="V56" i="11"/>
  <c r="W529" i="8"/>
  <c r="V57" i="12"/>
  <c r="W623" i="8"/>
  <c r="V54" i="13"/>
  <c r="W717" i="8"/>
  <c r="AH198" i="8"/>
  <c r="Z468" i="8"/>
  <c r="AB296" i="8"/>
  <c r="AH221" i="8"/>
  <c r="AG465" i="8"/>
  <c r="Y260" i="8"/>
  <c r="Z414" i="8"/>
  <c r="W682" i="8"/>
  <c r="X681" i="8" s="1"/>
  <c r="X43" i="12" s="1"/>
  <c r="AG293" i="8"/>
  <c r="W824" i="8"/>
  <c r="X823" i="8" s="1"/>
  <c r="X37" i="14" s="1"/>
  <c r="AH153" i="8"/>
  <c r="Y165" i="8"/>
  <c r="V54" i="14"/>
  <c r="W795" i="8"/>
  <c r="W796" i="8" s="1"/>
  <c r="W34" i="14" s="1"/>
  <c r="W47" i="14" s="1"/>
  <c r="W76" i="14" s="1"/>
  <c r="W792" i="8"/>
  <c r="V57" i="13"/>
  <c r="W744" i="8"/>
  <c r="W747" i="8"/>
  <c r="W748" i="8" s="1"/>
  <c r="W39" i="13" s="1"/>
  <c r="T43" i="34"/>
  <c r="V61" i="12"/>
  <c r="W659" i="8"/>
  <c r="W662" i="8"/>
  <c r="W663" i="8" s="1"/>
  <c r="W41" i="12" s="1"/>
  <c r="V55" i="11"/>
  <c r="W520" i="8"/>
  <c r="S86" i="11"/>
  <c r="S90" i="11" s="1"/>
  <c r="S81" i="11"/>
  <c r="AH370" i="8"/>
  <c r="AH456" i="8"/>
  <c r="AG483" i="8"/>
  <c r="AI162" i="8"/>
  <c r="T44" i="34"/>
  <c r="AE403" i="8"/>
  <c r="AE405" i="8" s="1"/>
  <c r="AD406" i="8"/>
  <c r="AE401" i="8" s="1"/>
  <c r="AI402" i="8"/>
  <c r="AH404" i="8"/>
  <c r="AH785" i="8" s="1"/>
  <c r="AG257" i="8"/>
  <c r="AE308" i="8"/>
  <c r="AE310" i="8" s="1"/>
  <c r="AD311" i="8"/>
  <c r="AE306" i="8" s="1"/>
  <c r="X645" i="8"/>
  <c r="W646" i="8"/>
  <c r="Y242" i="8"/>
  <c r="AG266" i="8"/>
  <c r="V60" i="13"/>
  <c r="W771" i="8"/>
  <c r="V55" i="14"/>
  <c r="W801" i="8"/>
  <c r="AG411" i="8"/>
  <c r="AG438" i="8"/>
  <c r="Z337" i="8"/>
  <c r="AG239" i="8"/>
  <c r="V85" i="12"/>
  <c r="W842" i="8"/>
  <c r="W552" i="8"/>
  <c r="AG361" i="8"/>
  <c r="V55" i="13"/>
  <c r="W726" i="8"/>
  <c r="T86" i="12"/>
  <c r="T89" i="12" s="1"/>
  <c r="T80" i="12"/>
  <c r="AH171" i="8"/>
  <c r="U66" i="14"/>
  <c r="U68" i="14" s="1"/>
  <c r="U77" i="14" s="1"/>
  <c r="V60" i="12"/>
  <c r="W650" i="8"/>
  <c r="W653" i="8"/>
  <c r="W654" i="8" s="1"/>
  <c r="W40" i="12" s="1"/>
  <c r="AG307" i="8"/>
  <c r="AF309" i="8"/>
  <c r="AF692" i="8" s="1"/>
  <c r="AF230" i="8"/>
  <c r="AH135" i="8"/>
  <c r="AG352" i="8"/>
  <c r="W543" i="8"/>
  <c r="X542" i="8" s="1"/>
  <c r="X37" i="11" s="1"/>
  <c r="AI388" i="8"/>
  <c r="Z145" i="8"/>
  <c r="Y148" i="8"/>
  <c r="Z143" i="8" s="1"/>
  <c r="Z146" i="8" s="1"/>
  <c r="Z531" i="8" s="1"/>
  <c r="V59" i="11"/>
  <c r="W559" i="8"/>
  <c r="W560" i="8" s="1"/>
  <c r="W39" i="11" s="1"/>
  <c r="W556" i="8"/>
  <c r="AH212" i="8"/>
  <c r="AG214" i="8"/>
  <c r="AG598" i="8" s="1"/>
  <c r="AG429" i="8"/>
  <c r="AH275" i="8"/>
  <c r="AI144" i="8"/>
  <c r="AB199" i="8"/>
  <c r="AA202" i="8"/>
  <c r="AB197" i="8" s="1"/>
  <c r="AB200" i="8" s="1"/>
  <c r="AB585" i="8" s="1"/>
  <c r="Z267" i="8"/>
  <c r="Y270" i="8"/>
  <c r="Z265" i="8" s="1"/>
  <c r="Z268" i="8" s="1"/>
  <c r="Z652" i="8" s="1"/>
  <c r="W758" i="8"/>
  <c r="W713" i="8"/>
  <c r="X712" i="8" s="1"/>
  <c r="X35" i="13" s="1"/>
  <c r="W869" i="8"/>
  <c r="X868" i="8" s="1"/>
  <c r="X42" i="14" s="1"/>
  <c r="AH248" i="8"/>
  <c r="Z362" i="8"/>
  <c r="Y365" i="8"/>
  <c r="Z360" i="8" s="1"/>
  <c r="Z363" i="8" s="1"/>
  <c r="Z746" i="8" s="1"/>
  <c r="W851" i="8"/>
  <c r="W833" i="8"/>
  <c r="X832" i="8"/>
  <c r="X38" i="14" s="1"/>
  <c r="AH180" i="8"/>
  <c r="AH117" i="8"/>
  <c r="AG119" i="8"/>
  <c r="AG504" i="8" s="1"/>
  <c r="Z430" i="8"/>
  <c r="Y433" i="8"/>
  <c r="Z428" i="8" s="1"/>
  <c r="Z431" i="8" s="1"/>
  <c r="Z812" i="8" s="1"/>
  <c r="R52" i="34"/>
  <c r="R61" i="34" s="1"/>
  <c r="R46" i="34"/>
  <c r="V619" i="8"/>
  <c r="V787" i="8"/>
  <c r="V33" i="14" s="1"/>
  <c r="G29" i="43" l="1"/>
  <c r="G33" i="43"/>
  <c r="G52" i="43" s="1"/>
  <c r="G54" i="43" s="1"/>
  <c r="X459" i="8"/>
  <c r="Y129" i="8"/>
  <c r="Y224" i="8"/>
  <c r="X193" i="8"/>
  <c r="Y188" i="8" s="1"/>
  <c r="Y191" i="8" s="1"/>
  <c r="Y576" i="8" s="1"/>
  <c r="Y190" i="8"/>
  <c r="U54" i="12"/>
  <c r="U65" i="12" s="1"/>
  <c r="U67" i="12" s="1"/>
  <c r="U69" i="12" s="1"/>
  <c r="U77" i="12" s="1"/>
  <c r="Y319" i="8"/>
  <c r="Z317" i="8" s="1"/>
  <c r="Z391" i="8"/>
  <c r="Y320" i="8"/>
  <c r="Z315" i="8" s="1"/>
  <c r="Z318" i="8" s="1"/>
  <c r="Z701" i="8" s="1"/>
  <c r="X278" i="8"/>
  <c r="V61" i="14"/>
  <c r="W855" i="8"/>
  <c r="W858" i="8"/>
  <c r="Y857" i="8"/>
  <c r="Y477" i="8"/>
  <c r="Z172" i="8"/>
  <c r="AB486" i="8"/>
  <c r="Z439" i="8"/>
  <c r="Z441" i="8" s="1"/>
  <c r="Z234" i="8"/>
  <c r="AA229" i="8" s="1"/>
  <c r="AA232" i="8" s="1"/>
  <c r="AA616" i="8" s="1"/>
  <c r="Y157" i="8"/>
  <c r="Z152" i="8" s="1"/>
  <c r="Z155" i="8" s="1"/>
  <c r="Z540" i="8" s="1"/>
  <c r="V694" i="8"/>
  <c r="V33" i="13" s="1"/>
  <c r="X374" i="8"/>
  <c r="Y369" i="8" s="1"/>
  <c r="Y372" i="8" s="1"/>
  <c r="Y755" i="8" s="1"/>
  <c r="AB328" i="8"/>
  <c r="AC326" i="8" s="1"/>
  <c r="X355" i="8"/>
  <c r="V56" i="13"/>
  <c r="W735" i="8"/>
  <c r="W738" i="8"/>
  <c r="W47" i="13"/>
  <c r="W73" i="13" s="1"/>
  <c r="W82" i="13" s="1"/>
  <c r="X288" i="8"/>
  <c r="Y283" i="8" s="1"/>
  <c r="Y286" i="8" s="1"/>
  <c r="Y670" i="8" s="1"/>
  <c r="V596" i="8"/>
  <c r="U507" i="8"/>
  <c r="U53" i="11" s="1"/>
  <c r="U64" i="11" s="1"/>
  <c r="Y347" i="8"/>
  <c r="Z342" i="8" s="1"/>
  <c r="Z345" i="8" s="1"/>
  <c r="Z728" i="8" s="1"/>
  <c r="AC136" i="8"/>
  <c r="AC138" i="8" s="1"/>
  <c r="W40" i="11"/>
  <c r="W47" i="11" s="1"/>
  <c r="W76" i="11" s="1"/>
  <c r="X460" i="8"/>
  <c r="Y455" i="8" s="1"/>
  <c r="Y458" i="8" s="1"/>
  <c r="Y839" i="8" s="1"/>
  <c r="Y457" i="8"/>
  <c r="W183" i="8"/>
  <c r="Z147" i="8"/>
  <c r="Z148" i="8" s="1"/>
  <c r="AA143" i="8" s="1"/>
  <c r="AA146" i="8" s="1"/>
  <c r="AA531" i="8" s="1"/>
  <c r="Z432" i="8"/>
  <c r="Z433" i="8" s="1"/>
  <c r="AA428" i="8" s="1"/>
  <c r="AA431" i="8" s="1"/>
  <c r="AA812" i="8" s="1"/>
  <c r="Z364" i="8"/>
  <c r="AA362" i="8" s="1"/>
  <c r="AB201" i="8"/>
  <c r="AC199" i="8" s="1"/>
  <c r="Y373" i="8"/>
  <c r="Y374" i="8" s="1"/>
  <c r="Z369" i="8" s="1"/>
  <c r="Z372" i="8" s="1"/>
  <c r="Z755" i="8" s="1"/>
  <c r="Z174" i="8"/>
  <c r="Z175" i="8" s="1"/>
  <c r="AA170" i="8" s="1"/>
  <c r="AA173" i="8" s="1"/>
  <c r="AA558" i="8" s="1"/>
  <c r="W668" i="8"/>
  <c r="V62" i="12"/>
  <c r="W671" i="8"/>
  <c r="AH474" i="8"/>
  <c r="AG189" i="8"/>
  <c r="W574" i="8"/>
  <c r="V61" i="11"/>
  <c r="V60" i="11"/>
  <c r="W565" i="8"/>
  <c r="Y380" i="8"/>
  <c r="X383" i="8"/>
  <c r="Y378" i="8" s="1"/>
  <c r="Y381" i="8" s="1"/>
  <c r="Y764" i="8" s="1"/>
  <c r="AH284" i="8"/>
  <c r="AH379" i="8"/>
  <c r="W762" i="8"/>
  <c r="W765" i="8"/>
  <c r="V56" i="12"/>
  <c r="W614" i="8"/>
  <c r="R66" i="34"/>
  <c r="R62" i="34"/>
  <c r="AI248" i="8"/>
  <c r="W62" i="14"/>
  <c r="X864" i="8"/>
  <c r="W53" i="13"/>
  <c r="X708" i="8"/>
  <c r="W58" i="13"/>
  <c r="X756" i="8"/>
  <c r="X757" i="8" s="1"/>
  <c r="X40" i="13" s="1"/>
  <c r="X753" i="8"/>
  <c r="Z269" i="8"/>
  <c r="AG230" i="8"/>
  <c r="W655" i="8"/>
  <c r="U86" i="14"/>
  <c r="U89" i="14" s="1"/>
  <c r="U80" i="14"/>
  <c r="AI171" i="8"/>
  <c r="T42" i="34"/>
  <c r="W731" i="8"/>
  <c r="X730" i="8" s="1"/>
  <c r="X37" i="13" s="1"/>
  <c r="AH361" i="8"/>
  <c r="AH239" i="8"/>
  <c r="AH438" i="8"/>
  <c r="AH411" i="8"/>
  <c r="W59" i="12"/>
  <c r="X644" i="8"/>
  <c r="X641" i="8"/>
  <c r="AF403" i="8"/>
  <c r="AF405" i="8" s="1"/>
  <c r="AE406" i="8"/>
  <c r="AF401" i="8" s="1"/>
  <c r="AI370" i="8"/>
  <c r="S41" i="34"/>
  <c r="W525" i="8"/>
  <c r="X524" i="8" s="1"/>
  <c r="X35" i="11" s="1"/>
  <c r="W664" i="8"/>
  <c r="T153" i="34"/>
  <c r="T154" i="34" s="1"/>
  <c r="T157" i="34" s="1"/>
  <c r="T86" i="34"/>
  <c r="T88" i="34" s="1"/>
  <c r="W85" i="14"/>
  <c r="Z163" i="8"/>
  <c r="Y166" i="8"/>
  <c r="Z161" i="8" s="1"/>
  <c r="Z164" i="8" s="1"/>
  <c r="Z549" i="8" s="1"/>
  <c r="W57" i="14"/>
  <c r="X819" i="8"/>
  <c r="AH293" i="8"/>
  <c r="W63" i="12"/>
  <c r="X677" i="8"/>
  <c r="AD421" i="8"/>
  <c r="AC424" i="8"/>
  <c r="AD419" i="8" s="1"/>
  <c r="AD422" i="8" s="1"/>
  <c r="AD803" i="8" s="1"/>
  <c r="AC484" i="8"/>
  <c r="AB487" i="8"/>
  <c r="AC482" i="8" s="1"/>
  <c r="AC485" i="8" s="1"/>
  <c r="AC866" i="8" s="1"/>
  <c r="AC294" i="8"/>
  <c r="AB297" i="8"/>
  <c r="AC292" i="8" s="1"/>
  <c r="AC295" i="8" s="1"/>
  <c r="AC679" i="8" s="1"/>
  <c r="AI198" i="8"/>
  <c r="AH447" i="8"/>
  <c r="AJ325" i="8"/>
  <c r="W56" i="14"/>
  <c r="X810" i="8"/>
  <c r="AI343" i="8"/>
  <c r="AI420" i="8"/>
  <c r="W54" i="11"/>
  <c r="X514" i="8"/>
  <c r="X515" i="8" s="1"/>
  <c r="X34" i="11" s="1"/>
  <c r="X511" i="8"/>
  <c r="W52" i="13"/>
  <c r="X699" i="8"/>
  <c r="X702" i="8"/>
  <c r="X703" i="8" s="1"/>
  <c r="X34" i="13" s="1"/>
  <c r="Y448" i="8"/>
  <c r="X451" i="8"/>
  <c r="Y446" i="8" s="1"/>
  <c r="Y449" i="8" s="1"/>
  <c r="Y830" i="8" s="1"/>
  <c r="W55" i="12"/>
  <c r="X605" i="8"/>
  <c r="X608" i="8"/>
  <c r="X609" i="8" s="1"/>
  <c r="X35" i="12" s="1"/>
  <c r="V695" i="8"/>
  <c r="U64" i="13"/>
  <c r="U66" i="13" s="1"/>
  <c r="U74" i="13" s="1"/>
  <c r="W618" i="8"/>
  <c r="W36" i="12" s="1"/>
  <c r="W48" i="12" s="1"/>
  <c r="W76" i="12" s="1"/>
  <c r="AH119" i="8"/>
  <c r="AH504" i="8" s="1"/>
  <c r="AI117" i="8"/>
  <c r="AI180" i="8"/>
  <c r="W58" i="14"/>
  <c r="X831" i="8"/>
  <c r="X828" i="8"/>
  <c r="W60" i="14"/>
  <c r="X849" i="8"/>
  <c r="X850" i="8" s="1"/>
  <c r="X40" i="14" s="1"/>
  <c r="X846" i="8"/>
  <c r="AB202" i="8"/>
  <c r="AC197" i="8" s="1"/>
  <c r="AC200" i="8" s="1"/>
  <c r="AC585" i="8" s="1"/>
  <c r="AJ144" i="8"/>
  <c r="AI275" i="8"/>
  <c r="AH429" i="8"/>
  <c r="AH214" i="8"/>
  <c r="AH598" i="8" s="1"/>
  <c r="AI212" i="8"/>
  <c r="W561" i="8"/>
  <c r="AA145" i="8"/>
  <c r="AJ388" i="8"/>
  <c r="W57" i="11"/>
  <c r="X538" i="8"/>
  <c r="AH352" i="8"/>
  <c r="AI135" i="8"/>
  <c r="AG309" i="8"/>
  <c r="AG692" i="8" s="1"/>
  <c r="AH307" i="8"/>
  <c r="W58" i="11"/>
  <c r="X547" i="8"/>
  <c r="X550" i="8"/>
  <c r="X551" i="8" s="1"/>
  <c r="X38" i="11" s="1"/>
  <c r="W59" i="14"/>
  <c r="X840" i="8"/>
  <c r="X841" i="8" s="1"/>
  <c r="X39" i="14" s="1"/>
  <c r="X837" i="8"/>
  <c r="AA335" i="8"/>
  <c r="Z338" i="8"/>
  <c r="AA333" i="8" s="1"/>
  <c r="AA336" i="8" s="1"/>
  <c r="AA719" i="8" s="1"/>
  <c r="W806" i="8"/>
  <c r="X805" i="8" s="1"/>
  <c r="X35" i="14" s="1"/>
  <c r="W776" i="8"/>
  <c r="X775" i="8" s="1"/>
  <c r="X42" i="13" s="1"/>
  <c r="AH266" i="8"/>
  <c r="Z240" i="8"/>
  <c r="Y243" i="8"/>
  <c r="Z238" i="8" s="1"/>
  <c r="Z241" i="8" s="1"/>
  <c r="Z625" i="8" s="1"/>
  <c r="AF308" i="8"/>
  <c r="AF310" i="8" s="1"/>
  <c r="AE311" i="8"/>
  <c r="AF306" i="8" s="1"/>
  <c r="AH257" i="8"/>
  <c r="AI404" i="8"/>
  <c r="AI785" i="8" s="1"/>
  <c r="AJ402" i="8"/>
  <c r="T91" i="34"/>
  <c r="T93" i="34" s="1"/>
  <c r="T166" i="34"/>
  <c r="T167" i="34" s="1"/>
  <c r="T170" i="34" s="1"/>
  <c r="AJ162" i="8"/>
  <c r="AH483" i="8"/>
  <c r="AI456" i="8"/>
  <c r="W749" i="8"/>
  <c r="W797" i="8"/>
  <c r="AI153" i="8"/>
  <c r="AA412" i="8"/>
  <c r="Z415" i="8"/>
  <c r="AA410" i="8" s="1"/>
  <c r="AA413" i="8" s="1"/>
  <c r="AA794" i="8" s="1"/>
  <c r="Z258" i="8"/>
  <c r="Y261" i="8"/>
  <c r="Z256" i="8" s="1"/>
  <c r="Z259" i="8" s="1"/>
  <c r="Z643" i="8" s="1"/>
  <c r="AH465" i="8"/>
  <c r="AI221" i="8"/>
  <c r="AA466" i="8"/>
  <c r="Z469" i="8"/>
  <c r="AA464" i="8" s="1"/>
  <c r="AA467" i="8" s="1"/>
  <c r="AA848" i="8" s="1"/>
  <c r="W722" i="8"/>
  <c r="X721" i="8"/>
  <c r="X36" i="13" s="1"/>
  <c r="W628" i="8"/>
  <c r="X627" i="8"/>
  <c r="X37" i="12" s="1"/>
  <c r="W534" i="8"/>
  <c r="X533" i="8" s="1"/>
  <c r="X36" i="11" s="1"/>
  <c r="T69" i="11"/>
  <c r="W588" i="8"/>
  <c r="X587" i="8" s="1"/>
  <c r="X42" i="11" s="1"/>
  <c r="AJ126" i="8"/>
  <c r="V788" i="8"/>
  <c r="Z249" i="8"/>
  <c r="Y252" i="8"/>
  <c r="Z247" i="8" s="1"/>
  <c r="Z250" i="8" s="1"/>
  <c r="Z634" i="8" s="1"/>
  <c r="AF213" i="8"/>
  <c r="AF215" i="8" s="1"/>
  <c r="AE216" i="8"/>
  <c r="AF211" i="8" s="1"/>
  <c r="W58" i="12"/>
  <c r="X632" i="8"/>
  <c r="AH334" i="8"/>
  <c r="AF118" i="8"/>
  <c r="AF120" i="8" s="1"/>
  <c r="AE121" i="8"/>
  <c r="AF116" i="8" s="1"/>
  <c r="V600" i="8"/>
  <c r="V34" i="12" s="1"/>
  <c r="Y130" i="8" l="1"/>
  <c r="Z125" i="8" s="1"/>
  <c r="Z128" i="8" s="1"/>
  <c r="Z513" i="8" s="1"/>
  <c r="Z127" i="8"/>
  <c r="Y225" i="8"/>
  <c r="Z220" i="8" s="1"/>
  <c r="Z223" i="8" s="1"/>
  <c r="Z607" i="8" s="1"/>
  <c r="Z222" i="8"/>
  <c r="Z346" i="8"/>
  <c r="Z347" i="8" s="1"/>
  <c r="AA342" i="8" s="1"/>
  <c r="AA345" i="8" s="1"/>
  <c r="AA728" i="8" s="1"/>
  <c r="Y192" i="8"/>
  <c r="AA389" i="8"/>
  <c r="Z392" i="8"/>
  <c r="AA387" i="8" s="1"/>
  <c r="AA390" i="8" s="1"/>
  <c r="AA773" i="8" s="1"/>
  <c r="Z319" i="8"/>
  <c r="W85" i="11"/>
  <c r="Y276" i="8"/>
  <c r="X279" i="8"/>
  <c r="Y274" i="8" s="1"/>
  <c r="Y277" i="8" s="1"/>
  <c r="Y661" i="8" s="1"/>
  <c r="W860" i="8"/>
  <c r="X859" i="8"/>
  <c r="X41" i="14" s="1"/>
  <c r="Y478" i="8"/>
  <c r="Z473" i="8" s="1"/>
  <c r="Z476" i="8" s="1"/>
  <c r="Z857" i="8" s="1"/>
  <c r="Z475" i="8"/>
  <c r="Y287" i="8"/>
  <c r="Z285" i="8" s="1"/>
  <c r="AA172" i="8"/>
  <c r="AA233" i="8"/>
  <c r="AB231" i="8" s="1"/>
  <c r="W740" i="8"/>
  <c r="X739" i="8"/>
  <c r="X38" i="13" s="1"/>
  <c r="Y353" i="8"/>
  <c r="X356" i="8"/>
  <c r="Y351" i="8" s="1"/>
  <c r="Y354" i="8" s="1"/>
  <c r="Y737" i="8" s="1"/>
  <c r="AB329" i="8"/>
  <c r="AC324" i="8" s="1"/>
  <c r="AC327" i="8" s="1"/>
  <c r="AC710" i="8" s="1"/>
  <c r="AA344" i="8"/>
  <c r="AA346" i="8" s="1"/>
  <c r="Z371" i="8"/>
  <c r="Z156" i="8"/>
  <c r="V505" i="8"/>
  <c r="Z365" i="8"/>
  <c r="AA360" i="8" s="1"/>
  <c r="AA363" i="8" s="1"/>
  <c r="AA746" i="8" s="1"/>
  <c r="V502" i="8"/>
  <c r="AA337" i="8"/>
  <c r="AB335" i="8" s="1"/>
  <c r="AA430" i="8"/>
  <c r="AA432" i="8" s="1"/>
  <c r="Y459" i="8"/>
  <c r="AC296" i="8"/>
  <c r="AD294" i="8" s="1"/>
  <c r="AC486" i="8"/>
  <c r="AD484" i="8" s="1"/>
  <c r="AD423" i="8"/>
  <c r="AD424" i="8" s="1"/>
  <c r="AE419" i="8" s="1"/>
  <c r="AE422" i="8" s="1"/>
  <c r="AE803" i="8" s="1"/>
  <c r="X181" i="8"/>
  <c r="W184" i="8"/>
  <c r="X179" i="8" s="1"/>
  <c r="X182" i="8" s="1"/>
  <c r="X567" i="8" s="1"/>
  <c r="AI379" i="8"/>
  <c r="AI284" i="8"/>
  <c r="Y382" i="8"/>
  <c r="W579" i="8"/>
  <c r="X578" i="8"/>
  <c r="X41" i="11" s="1"/>
  <c r="AH189" i="8"/>
  <c r="AI474" i="8"/>
  <c r="Z242" i="8"/>
  <c r="Z243" i="8" s="1"/>
  <c r="AA238" i="8" s="1"/>
  <c r="AA241" i="8" s="1"/>
  <c r="AA625" i="8" s="1"/>
  <c r="AA147" i="8"/>
  <c r="AA148" i="8" s="1"/>
  <c r="AB143" i="8" s="1"/>
  <c r="AB146" i="8" s="1"/>
  <c r="AB531" i="8" s="1"/>
  <c r="W767" i="8"/>
  <c r="X766" i="8"/>
  <c r="X41" i="13" s="1"/>
  <c r="W570" i="8"/>
  <c r="X569" i="8"/>
  <c r="W673" i="8"/>
  <c r="X672" i="8"/>
  <c r="X42" i="12" s="1"/>
  <c r="AJ153" i="8"/>
  <c r="AG213" i="8"/>
  <c r="AG215" i="8" s="1"/>
  <c r="AF216" i="8"/>
  <c r="AG211" i="8" s="1"/>
  <c r="Z251" i="8"/>
  <c r="AK126" i="8"/>
  <c r="W62" i="11"/>
  <c r="X583" i="8"/>
  <c r="W56" i="11"/>
  <c r="X529" i="8"/>
  <c r="W57" i="12"/>
  <c r="X623" i="8"/>
  <c r="W54" i="13"/>
  <c r="X717" i="8"/>
  <c r="AA468" i="8"/>
  <c r="AJ221" i="8"/>
  <c r="AI465" i="8"/>
  <c r="Z260" i="8"/>
  <c r="AA414" i="8"/>
  <c r="AJ456" i="8"/>
  <c r="AI483" i="8"/>
  <c r="AK402" i="8"/>
  <c r="AJ404" i="8"/>
  <c r="AJ785" i="8" s="1"/>
  <c r="AI257" i="8"/>
  <c r="AG308" i="8"/>
  <c r="AG310" i="8" s="1"/>
  <c r="AF311" i="8"/>
  <c r="AG306" i="8" s="1"/>
  <c r="AI352" i="8"/>
  <c r="AJ212" i="8"/>
  <c r="AI214" i="8"/>
  <c r="AI598" i="8" s="1"/>
  <c r="AI429" i="8"/>
  <c r="Z373" i="8"/>
  <c r="AK144" i="8"/>
  <c r="AC201" i="8"/>
  <c r="X833" i="8"/>
  <c r="Y832" i="8"/>
  <c r="AJ180" i="8"/>
  <c r="AJ117" i="8"/>
  <c r="AI119" i="8"/>
  <c r="AI504" i="8" s="1"/>
  <c r="AD136" i="8"/>
  <c r="AC139" i="8"/>
  <c r="AD134" i="8" s="1"/>
  <c r="AD137" i="8" s="1"/>
  <c r="AD522" i="8" s="1"/>
  <c r="V51" i="13"/>
  <c r="V62" i="13" s="1"/>
  <c r="W690" i="8"/>
  <c r="W693" i="8"/>
  <c r="W30" i="13" s="1"/>
  <c r="W75" i="13" s="1"/>
  <c r="W84" i="13" s="1"/>
  <c r="X610" i="8"/>
  <c r="AJ420" i="8"/>
  <c r="X815" i="8"/>
  <c r="Y814" i="8"/>
  <c r="AK325" i="8"/>
  <c r="AJ198" i="8"/>
  <c r="X824" i="8"/>
  <c r="Y823" i="8" s="1"/>
  <c r="S52" i="34"/>
  <c r="S61" i="34" s="1"/>
  <c r="S46" i="34"/>
  <c r="AJ370" i="8"/>
  <c r="AG403" i="8"/>
  <c r="AG405" i="8" s="1"/>
  <c r="AF406" i="8"/>
  <c r="AG401" i="8" s="1"/>
  <c r="AI239" i="8"/>
  <c r="AA439" i="8"/>
  <c r="Z442" i="8"/>
  <c r="AA437" i="8" s="1"/>
  <c r="AA440" i="8" s="1"/>
  <c r="AA821" i="8" s="1"/>
  <c r="W55" i="13"/>
  <c r="X726" i="8"/>
  <c r="U67" i="11"/>
  <c r="AA174" i="8"/>
  <c r="V601" i="8"/>
  <c r="X758" i="8"/>
  <c r="R64" i="34"/>
  <c r="R108" i="34"/>
  <c r="R109" i="34" s="1"/>
  <c r="R112" i="34" s="1"/>
  <c r="W619" i="8"/>
  <c r="X618" i="8" s="1"/>
  <c r="X36" i="12" s="1"/>
  <c r="AG118" i="8"/>
  <c r="AG120" i="8" s="1"/>
  <c r="AF121" i="8"/>
  <c r="AG116" i="8" s="1"/>
  <c r="AI334" i="8"/>
  <c r="X637" i="8"/>
  <c r="Y636" i="8" s="1"/>
  <c r="V53" i="14"/>
  <c r="V64" i="14" s="1"/>
  <c r="W786" i="8"/>
  <c r="W30" i="14" s="1"/>
  <c r="W78" i="14" s="1"/>
  <c r="W87" i="14" s="1"/>
  <c r="W783" i="8"/>
  <c r="T77" i="11"/>
  <c r="W54" i="14"/>
  <c r="X792" i="8"/>
  <c r="X795" i="8"/>
  <c r="X796" i="8" s="1"/>
  <c r="X34" i="14" s="1"/>
  <c r="X47" i="14" s="1"/>
  <c r="X76" i="14" s="1"/>
  <c r="W57" i="13"/>
  <c r="X747" i="8"/>
  <c r="X748" i="8" s="1"/>
  <c r="X39" i="13" s="1"/>
  <c r="X744" i="8"/>
  <c r="AK162" i="8"/>
  <c r="AI266" i="8"/>
  <c r="W60" i="13"/>
  <c r="X771" i="8"/>
  <c r="W55" i="14"/>
  <c r="X801" i="8"/>
  <c r="X842" i="8"/>
  <c r="X552" i="8"/>
  <c r="AI307" i="8"/>
  <c r="AH309" i="8"/>
  <c r="AH692" i="8" s="1"/>
  <c r="AJ135" i="8"/>
  <c r="X543" i="8"/>
  <c r="Y542" i="8" s="1"/>
  <c r="AK388" i="8"/>
  <c r="AB145" i="8"/>
  <c r="W59" i="11"/>
  <c r="X556" i="8"/>
  <c r="X559" i="8"/>
  <c r="X560" i="8" s="1"/>
  <c r="X39" i="11" s="1"/>
  <c r="AJ275" i="8"/>
  <c r="X851" i="8"/>
  <c r="W85" i="12"/>
  <c r="U83" i="13"/>
  <c r="U86" i="13" s="1"/>
  <c r="U77" i="13"/>
  <c r="Y450" i="8"/>
  <c r="X704" i="8"/>
  <c r="X516" i="8"/>
  <c r="AJ343" i="8"/>
  <c r="AI447" i="8"/>
  <c r="X682" i="8"/>
  <c r="Y681" i="8" s="1"/>
  <c r="AI293" i="8"/>
  <c r="Z165" i="8"/>
  <c r="W61" i="12"/>
  <c r="X662" i="8"/>
  <c r="X663" i="8" s="1"/>
  <c r="X41" i="12" s="1"/>
  <c r="X659" i="8"/>
  <c r="W55" i="11"/>
  <c r="X520" i="8"/>
  <c r="X646" i="8"/>
  <c r="Y645" i="8"/>
  <c r="AI411" i="8"/>
  <c r="AI438" i="8"/>
  <c r="AI361" i="8"/>
  <c r="T74" i="34"/>
  <c r="T81" i="34" s="1"/>
  <c r="T83" i="34" s="1"/>
  <c r="T139" i="34"/>
  <c r="T140" i="34" s="1"/>
  <c r="T143" i="34" s="1"/>
  <c r="AJ171" i="8"/>
  <c r="U44" i="34"/>
  <c r="W60" i="12"/>
  <c r="X653" i="8"/>
  <c r="X654" i="8" s="1"/>
  <c r="X40" i="12" s="1"/>
  <c r="X650" i="8"/>
  <c r="AH230" i="8"/>
  <c r="V30" i="11"/>
  <c r="V78" i="11" s="1"/>
  <c r="V87" i="11" s="1"/>
  <c r="V506" i="8"/>
  <c r="V33" i="11" s="1"/>
  <c r="U86" i="12"/>
  <c r="U89" i="12" s="1"/>
  <c r="U80" i="12"/>
  <c r="AA267" i="8"/>
  <c r="Z270" i="8"/>
  <c r="AA265" i="8" s="1"/>
  <c r="AA268" i="8" s="1"/>
  <c r="AA652" i="8" s="1"/>
  <c r="X713" i="8"/>
  <c r="Y712" i="8" s="1"/>
  <c r="X869" i="8"/>
  <c r="AJ248" i="8"/>
  <c r="R124" i="34"/>
  <c r="R125" i="34" s="1"/>
  <c r="R128" i="34" s="1"/>
  <c r="R68" i="34"/>
  <c r="Z224" i="8" l="1"/>
  <c r="Z129" i="8"/>
  <c r="Z190" i="8"/>
  <c r="Y193" i="8"/>
  <c r="Z188" i="8" s="1"/>
  <c r="Z191" i="8" s="1"/>
  <c r="Z576" i="8" s="1"/>
  <c r="AA391" i="8"/>
  <c r="Z320" i="8"/>
  <c r="AA315" i="8" s="1"/>
  <c r="AA318" i="8" s="1"/>
  <c r="AA701" i="8" s="1"/>
  <c r="AA317" i="8"/>
  <c r="Y278" i="8"/>
  <c r="X858" i="8"/>
  <c r="W61" i="14"/>
  <c r="X855" i="8"/>
  <c r="Z477" i="8"/>
  <c r="Y288" i="8"/>
  <c r="Z283" i="8" s="1"/>
  <c r="Z286" i="8" s="1"/>
  <c r="W787" i="8"/>
  <c r="W33" i="14" s="1"/>
  <c r="AC297" i="8"/>
  <c r="AD292" i="8" s="1"/>
  <c r="AD295" i="8" s="1"/>
  <c r="AD679" i="8" s="1"/>
  <c r="AA234" i="8"/>
  <c r="AB229" i="8" s="1"/>
  <c r="AB232" i="8" s="1"/>
  <c r="AB616" i="8" s="1"/>
  <c r="AC328" i="8"/>
  <c r="AB344" i="8"/>
  <c r="AA347" i="8"/>
  <c r="AB342" i="8" s="1"/>
  <c r="AB345" i="8" s="1"/>
  <c r="AB728" i="8" s="1"/>
  <c r="AE421" i="8"/>
  <c r="AE423" i="8" s="1"/>
  <c r="AA154" i="8"/>
  <c r="Z157" i="8"/>
  <c r="AA152" i="8" s="1"/>
  <c r="AA155" i="8" s="1"/>
  <c r="AA540" i="8" s="1"/>
  <c r="W56" i="13"/>
  <c r="X738" i="8"/>
  <c r="X735" i="8"/>
  <c r="AA338" i="8"/>
  <c r="AB333" i="8" s="1"/>
  <c r="AB336" i="8" s="1"/>
  <c r="AB719" i="8" s="1"/>
  <c r="AC487" i="8"/>
  <c r="AD482" i="8" s="1"/>
  <c r="AD485" i="8" s="1"/>
  <c r="AD866" i="8" s="1"/>
  <c r="Y355" i="8"/>
  <c r="N46" i="34"/>
  <c r="W694" i="8"/>
  <c r="W33" i="13" s="1"/>
  <c r="X47" i="13"/>
  <c r="X73" i="13" s="1"/>
  <c r="X82" i="13" s="1"/>
  <c r="AA364" i="8"/>
  <c r="AA365" i="8" s="1"/>
  <c r="AB360" i="8" s="1"/>
  <c r="AB363" i="8" s="1"/>
  <c r="AB746" i="8" s="1"/>
  <c r="AA240" i="8"/>
  <c r="AA433" i="8"/>
  <c r="AB428" i="8" s="1"/>
  <c r="AB431" i="8" s="1"/>
  <c r="AB812" i="8" s="1"/>
  <c r="AB430" i="8"/>
  <c r="X40" i="11"/>
  <c r="X47" i="11" s="1"/>
  <c r="X76" i="11" s="1"/>
  <c r="Z457" i="8"/>
  <c r="Y460" i="8"/>
  <c r="Z455" i="8" s="1"/>
  <c r="Z458" i="8" s="1"/>
  <c r="Z839" i="8" s="1"/>
  <c r="X183" i="8"/>
  <c r="AA269" i="8"/>
  <c r="AA270" i="8" s="1"/>
  <c r="AB265" i="8" s="1"/>
  <c r="AB268" i="8" s="1"/>
  <c r="AB652" i="8" s="1"/>
  <c r="W62" i="12"/>
  <c r="X671" i="8"/>
  <c r="X668" i="8"/>
  <c r="X565" i="8"/>
  <c r="W60" i="11"/>
  <c r="X765" i="8"/>
  <c r="X762" i="8"/>
  <c r="AJ474" i="8"/>
  <c r="AI189" i="8"/>
  <c r="W61" i="11"/>
  <c r="X574" i="8"/>
  <c r="AJ379" i="8"/>
  <c r="Z380" i="8"/>
  <c r="Y383" i="8"/>
  <c r="Z378" i="8" s="1"/>
  <c r="Z381" i="8" s="1"/>
  <c r="Z764" i="8" s="1"/>
  <c r="AJ284" i="8"/>
  <c r="X48" i="12"/>
  <c r="X76" i="12" s="1"/>
  <c r="X85" i="14"/>
  <c r="X62" i="14"/>
  <c r="Y864" i="8"/>
  <c r="X655" i="8"/>
  <c r="AJ438" i="8"/>
  <c r="AJ411" i="8"/>
  <c r="X59" i="12"/>
  <c r="Y641" i="8"/>
  <c r="Y644" i="8"/>
  <c r="X525" i="8"/>
  <c r="AJ293" i="8"/>
  <c r="AJ447" i="8"/>
  <c r="Y868" i="8"/>
  <c r="AI230" i="8"/>
  <c r="U166" i="34"/>
  <c r="U167" i="34" s="1"/>
  <c r="U170" i="34" s="1"/>
  <c r="U91" i="34"/>
  <c r="U93" i="34" s="1"/>
  <c r="AK171" i="8"/>
  <c r="AA163" i="8"/>
  <c r="Z166" i="8"/>
  <c r="AA161" i="8" s="1"/>
  <c r="AA164" i="8" s="1"/>
  <c r="AA549" i="8" s="1"/>
  <c r="Z448" i="8"/>
  <c r="Y451" i="8"/>
  <c r="Z446" i="8" s="1"/>
  <c r="Z449" i="8" s="1"/>
  <c r="Z830" i="8" s="1"/>
  <c r="U43" i="34"/>
  <c r="X561" i="8"/>
  <c r="AB147" i="8"/>
  <c r="AK135" i="8"/>
  <c r="X806" i="8"/>
  <c r="Y805" i="8" s="1"/>
  <c r="X776" i="8"/>
  <c r="Y775" i="8" s="1"/>
  <c r="AJ266" i="8"/>
  <c r="AL162" i="8"/>
  <c r="T86" i="11"/>
  <c r="T90" i="11" s="1"/>
  <c r="T81" i="11"/>
  <c r="AJ334" i="8"/>
  <c r="AH118" i="8"/>
  <c r="AH120" i="8" s="1"/>
  <c r="AG121" i="8"/>
  <c r="AH116" i="8" s="1"/>
  <c r="V54" i="12"/>
  <c r="V65" i="12" s="1"/>
  <c r="W596" i="8"/>
  <c r="W599" i="8"/>
  <c r="W31" i="12" s="1"/>
  <c r="W78" i="12" s="1"/>
  <c r="W87" i="12" s="1"/>
  <c r="U69" i="11"/>
  <c r="AA441" i="8"/>
  <c r="AH403" i="8"/>
  <c r="AH405" i="8" s="1"/>
  <c r="AG406" i="8"/>
  <c r="AH401" i="8" s="1"/>
  <c r="X57" i="14"/>
  <c r="Y819" i="8"/>
  <c r="AL325" i="8"/>
  <c r="X56" i="14"/>
  <c r="Y810" i="8"/>
  <c r="V64" i="13"/>
  <c r="V66" i="13" s="1"/>
  <c r="V74" i="13" s="1"/>
  <c r="AD138" i="8"/>
  <c r="AK180" i="8"/>
  <c r="X58" i="14"/>
  <c r="Y831" i="8"/>
  <c r="Y828" i="8"/>
  <c r="AB362" i="8"/>
  <c r="AL144" i="8"/>
  <c r="AA371" i="8"/>
  <c r="Z374" i="8"/>
  <c r="AA369" i="8" s="1"/>
  <c r="AA372" i="8" s="1"/>
  <c r="AA755" i="8" s="1"/>
  <c r="AJ429" i="8"/>
  <c r="AJ214" i="8"/>
  <c r="AJ598" i="8" s="1"/>
  <c r="AK212" i="8"/>
  <c r="AJ352" i="8"/>
  <c r="AA242" i="8"/>
  <c r="AB412" i="8"/>
  <c r="AA415" i="8"/>
  <c r="AB410" i="8" s="1"/>
  <c r="AB413" i="8" s="1"/>
  <c r="AB794" i="8" s="1"/>
  <c r="AD326" i="8"/>
  <c r="AC329" i="8"/>
  <c r="AD324" i="8" s="1"/>
  <c r="AD327" i="8" s="1"/>
  <c r="AD710" i="8" s="1"/>
  <c r="X722" i="8"/>
  <c r="Y721" i="8"/>
  <c r="X628" i="8"/>
  <c r="Y627" i="8"/>
  <c r="X534" i="8"/>
  <c r="Y533" i="8" s="1"/>
  <c r="X588" i="8"/>
  <c r="Y587" i="8" s="1"/>
  <c r="AL126" i="8"/>
  <c r="AK153" i="8"/>
  <c r="AK248" i="8"/>
  <c r="X53" i="13"/>
  <c r="Y708" i="8"/>
  <c r="AB267" i="8"/>
  <c r="U42" i="34"/>
  <c r="AJ361" i="8"/>
  <c r="X664" i="8"/>
  <c r="X63" i="12"/>
  <c r="Y677" i="8"/>
  <c r="AK343" i="8"/>
  <c r="X54" i="11"/>
  <c r="Y511" i="8"/>
  <c r="Y514" i="8"/>
  <c r="Y515" i="8" s="1"/>
  <c r="X52" i="13"/>
  <c r="Y702" i="8"/>
  <c r="Y703" i="8" s="1"/>
  <c r="Y699" i="8"/>
  <c r="X60" i="14"/>
  <c r="Y846" i="8"/>
  <c r="Y849" i="8"/>
  <c r="Y850" i="8" s="1"/>
  <c r="AK275" i="8"/>
  <c r="AL388" i="8"/>
  <c r="X57" i="11"/>
  <c r="Y538" i="8"/>
  <c r="AI309" i="8"/>
  <c r="AI692" i="8" s="1"/>
  <c r="AJ307" i="8"/>
  <c r="X58" i="11"/>
  <c r="Y550" i="8"/>
  <c r="Y551" i="8" s="1"/>
  <c r="Y547" i="8"/>
  <c r="X59" i="14"/>
  <c r="Y837" i="8"/>
  <c r="Y840" i="8"/>
  <c r="Y841" i="8" s="1"/>
  <c r="X749" i="8"/>
  <c r="X797" i="8"/>
  <c r="W788" i="8"/>
  <c r="V66" i="14"/>
  <c r="V68" i="14" s="1"/>
  <c r="V77" i="14" s="1"/>
  <c r="X58" i="12"/>
  <c r="Y632" i="8"/>
  <c r="W56" i="12"/>
  <c r="X614" i="8"/>
  <c r="X58" i="13"/>
  <c r="Y753" i="8"/>
  <c r="Y756" i="8"/>
  <c r="Y757" i="8" s="1"/>
  <c r="AB172" i="8"/>
  <c r="AA175" i="8"/>
  <c r="AB170" i="8" s="1"/>
  <c r="AB173" i="8" s="1"/>
  <c r="AB558" i="8" s="1"/>
  <c r="V507" i="8"/>
  <c r="X731" i="8"/>
  <c r="AJ239" i="8"/>
  <c r="AK370" i="8"/>
  <c r="S62" i="34"/>
  <c r="S66" i="34"/>
  <c r="AK198" i="8"/>
  <c r="AK420" i="8"/>
  <c r="X55" i="12"/>
  <c r="Y608" i="8"/>
  <c r="Y609" i="8" s="1"/>
  <c r="Y605" i="8"/>
  <c r="AJ119" i="8"/>
  <c r="AJ504" i="8" s="1"/>
  <c r="AK117" i="8"/>
  <c r="AD199" i="8"/>
  <c r="AC202" i="8"/>
  <c r="AD197" i="8" s="1"/>
  <c r="AD200" i="8" s="1"/>
  <c r="AD585" i="8" s="1"/>
  <c r="AH308" i="8"/>
  <c r="AH310" i="8" s="1"/>
  <c r="AG311" i="8"/>
  <c r="AH306" i="8" s="1"/>
  <c r="AJ257" i="8"/>
  <c r="AK404" i="8"/>
  <c r="AK785" i="8" s="1"/>
  <c r="AL402" i="8"/>
  <c r="AJ483" i="8"/>
  <c r="AK456" i="8"/>
  <c r="AA258" i="8"/>
  <c r="Z261" i="8"/>
  <c r="AA256" i="8" s="1"/>
  <c r="AA259" i="8" s="1"/>
  <c r="AA643" i="8" s="1"/>
  <c r="AJ465" i="8"/>
  <c r="AK221" i="8"/>
  <c r="AB466" i="8"/>
  <c r="AA469" i="8"/>
  <c r="AB464" i="8" s="1"/>
  <c r="AB467" i="8" s="1"/>
  <c r="AB848" i="8" s="1"/>
  <c r="AA249" i="8"/>
  <c r="Z252" i="8"/>
  <c r="AA247" i="8" s="1"/>
  <c r="AA250" i="8" s="1"/>
  <c r="AA634" i="8" s="1"/>
  <c r="AH213" i="8"/>
  <c r="AH215" i="8" s="1"/>
  <c r="AG216" i="8"/>
  <c r="AH211" i="8" s="1"/>
  <c r="Z192" i="8" l="1"/>
  <c r="AA127" i="8"/>
  <c r="Z130" i="8"/>
  <c r="AA125" i="8" s="1"/>
  <c r="AA128" i="8" s="1"/>
  <c r="AA513" i="8" s="1"/>
  <c r="AA222" i="8"/>
  <c r="Z225" i="8"/>
  <c r="AA220" i="8" s="1"/>
  <c r="AA223" i="8" s="1"/>
  <c r="AA607" i="8" s="1"/>
  <c r="AA190" i="8"/>
  <c r="Z193" i="8"/>
  <c r="AA188" i="8" s="1"/>
  <c r="AA191" i="8" s="1"/>
  <c r="AA576" i="8" s="1"/>
  <c r="AA392" i="8"/>
  <c r="AB387" i="8" s="1"/>
  <c r="AB390" i="8" s="1"/>
  <c r="AB773" i="8" s="1"/>
  <c r="AB389" i="8"/>
  <c r="AA319" i="8"/>
  <c r="X85" i="11"/>
  <c r="Y279" i="8"/>
  <c r="Z274" i="8" s="1"/>
  <c r="Z277" i="8" s="1"/>
  <c r="Z661" i="8" s="1"/>
  <c r="Z276" i="8"/>
  <c r="Y859" i="8"/>
  <c r="X860" i="8"/>
  <c r="Z478" i="8"/>
  <c r="AA473" i="8" s="1"/>
  <c r="AA476" i="8" s="1"/>
  <c r="AA857" i="8" s="1"/>
  <c r="AA475" i="8"/>
  <c r="Z670" i="8"/>
  <c r="Z881" i="8" s="1"/>
  <c r="Z287" i="8"/>
  <c r="AB233" i="8"/>
  <c r="AD296" i="8"/>
  <c r="W695" i="8"/>
  <c r="AB346" i="8"/>
  <c r="AB337" i="8"/>
  <c r="AB338" i="8" s="1"/>
  <c r="AC333" i="8" s="1"/>
  <c r="AC336" i="8" s="1"/>
  <c r="AC719" i="8" s="1"/>
  <c r="Z353" i="8"/>
  <c r="Y356" i="8"/>
  <c r="Z351" i="8" s="1"/>
  <c r="Z354" i="8" s="1"/>
  <c r="Z737" i="8" s="1"/>
  <c r="AD486" i="8"/>
  <c r="AD487" i="8" s="1"/>
  <c r="AE482" i="8" s="1"/>
  <c r="AE485" i="8" s="1"/>
  <c r="AE866" i="8" s="1"/>
  <c r="Y739" i="8"/>
  <c r="X740" i="8"/>
  <c r="AA156" i="8"/>
  <c r="AB432" i="8"/>
  <c r="AB433" i="8" s="1"/>
  <c r="AC428" i="8" s="1"/>
  <c r="AC431" i="8" s="1"/>
  <c r="AC812" i="8" s="1"/>
  <c r="AD201" i="8"/>
  <c r="AB174" i="8"/>
  <c r="AC172" i="8" s="1"/>
  <c r="Z459" i="8"/>
  <c r="X184" i="8"/>
  <c r="Y179" i="8" s="1"/>
  <c r="Y182" i="8" s="1"/>
  <c r="Y567" i="8" s="1"/>
  <c r="Y876" i="8" s="1"/>
  <c r="Y181" i="8"/>
  <c r="AD328" i="8"/>
  <c r="AE326" i="8" s="1"/>
  <c r="AB414" i="8"/>
  <c r="AC412" i="8" s="1"/>
  <c r="W600" i="8"/>
  <c r="W34" i="12" s="1"/>
  <c r="Z382" i="8"/>
  <c r="AA380" i="8" s="1"/>
  <c r="AA260" i="8"/>
  <c r="AB258" i="8" s="1"/>
  <c r="AA373" i="8"/>
  <c r="AB371" i="8" s="1"/>
  <c r="AK379" i="8"/>
  <c r="AJ189" i="8"/>
  <c r="AK474" i="8"/>
  <c r="X767" i="8"/>
  <c r="Y766" i="8"/>
  <c r="Y569" i="8"/>
  <c r="X570" i="8"/>
  <c r="AK284" i="8"/>
  <c r="X579" i="8"/>
  <c r="Y578" i="8"/>
  <c r="X673" i="8"/>
  <c r="Y672" i="8"/>
  <c r="AI213" i="8"/>
  <c r="AI215" i="8" s="1"/>
  <c r="AH216" i="8"/>
  <c r="AI211" i="8" s="1"/>
  <c r="AA251" i="8"/>
  <c r="AB468" i="8"/>
  <c r="AL221" i="8"/>
  <c r="AK465" i="8"/>
  <c r="AL456" i="8"/>
  <c r="AK483" i="8"/>
  <c r="AK257" i="8"/>
  <c r="AI308" i="8"/>
  <c r="AI310" i="8" s="1"/>
  <c r="AH311" i="8"/>
  <c r="AI306" i="8" s="1"/>
  <c r="AE199" i="8"/>
  <c r="AD202" i="8"/>
  <c r="AE197" i="8" s="1"/>
  <c r="AE200" i="8" s="1"/>
  <c r="AE585" i="8" s="1"/>
  <c r="Y610" i="8"/>
  <c r="AL198" i="8"/>
  <c r="S108" i="34"/>
  <c r="S109" i="34" s="1"/>
  <c r="S112" i="34" s="1"/>
  <c r="N113" i="34" s="1"/>
  <c r="S64" i="34"/>
  <c r="X55" i="13"/>
  <c r="Y726" i="8"/>
  <c r="V53" i="11"/>
  <c r="V64" i="11" s="1"/>
  <c r="W502" i="8"/>
  <c r="W505" i="8"/>
  <c r="W30" i="11" s="1"/>
  <c r="W78" i="11" s="1"/>
  <c r="W87" i="11" s="1"/>
  <c r="Y758" i="8"/>
  <c r="X619" i="8"/>
  <c r="Y637" i="8"/>
  <c r="Z636" i="8" s="1"/>
  <c r="V86" i="14"/>
  <c r="V89" i="14" s="1"/>
  <c r="V80" i="14"/>
  <c r="AL275" i="8"/>
  <c r="Y851" i="8"/>
  <c r="Y682" i="8"/>
  <c r="Z681" i="8" s="1"/>
  <c r="AK361" i="8"/>
  <c r="AB269" i="8"/>
  <c r="AL153" i="8"/>
  <c r="AB240" i="8"/>
  <c r="AA243" i="8"/>
  <c r="AB238" i="8" s="1"/>
  <c r="AB241" i="8" s="1"/>
  <c r="AB625" i="8" s="1"/>
  <c r="AL212" i="8"/>
  <c r="AK214" i="8"/>
  <c r="AK598" i="8" s="1"/>
  <c r="AM144" i="8"/>
  <c r="AB364" i="8"/>
  <c r="V83" i="13"/>
  <c r="V86" i="13" s="1"/>
  <c r="V77" i="13"/>
  <c r="Y815" i="8"/>
  <c r="Z814" i="8"/>
  <c r="AM325" i="8"/>
  <c r="Y824" i="8"/>
  <c r="Z823" i="8" s="1"/>
  <c r="AB439" i="8"/>
  <c r="AA442" i="8"/>
  <c r="AB437" i="8" s="1"/>
  <c r="AB440" i="8" s="1"/>
  <c r="AB821" i="8" s="1"/>
  <c r="V67" i="12"/>
  <c r="V69" i="12" s="1"/>
  <c r="V77" i="12" s="1"/>
  <c r="AI118" i="8"/>
  <c r="AI120" i="8" s="1"/>
  <c r="AH121" i="8"/>
  <c r="AI116" i="8" s="1"/>
  <c r="AK334" i="8"/>
  <c r="AM162" i="8"/>
  <c r="AL135" i="8"/>
  <c r="Z450" i="8"/>
  <c r="AA165" i="8"/>
  <c r="AL171" i="8"/>
  <c r="AC430" i="8"/>
  <c r="AK293" i="8"/>
  <c r="X55" i="11"/>
  <c r="Y520" i="8"/>
  <c r="Y646" i="8"/>
  <c r="Z645" i="8"/>
  <c r="Y869" i="8"/>
  <c r="Z868" i="8" s="1"/>
  <c r="X85" i="12"/>
  <c r="AM402" i="8"/>
  <c r="AL404" i="8"/>
  <c r="AL785" i="8" s="1"/>
  <c r="AL117" i="8"/>
  <c r="AK119" i="8"/>
  <c r="AK504" i="8" s="1"/>
  <c r="W51" i="13"/>
  <c r="W62" i="13" s="1"/>
  <c r="X693" i="8"/>
  <c r="X690" i="8"/>
  <c r="AL420" i="8"/>
  <c r="S68" i="34"/>
  <c r="S124" i="34"/>
  <c r="S125" i="34" s="1"/>
  <c r="S128" i="34" s="1"/>
  <c r="N129" i="34" s="1"/>
  <c r="AL370" i="8"/>
  <c r="AK239" i="8"/>
  <c r="Y730" i="8"/>
  <c r="W53" i="14"/>
  <c r="W64" i="14" s="1"/>
  <c r="X783" i="8"/>
  <c r="X786" i="8"/>
  <c r="X54" i="14"/>
  <c r="Y795" i="8"/>
  <c r="Y796" i="8" s="1"/>
  <c r="Y792" i="8"/>
  <c r="X57" i="13"/>
  <c r="Y744" i="8"/>
  <c r="Y747" i="8"/>
  <c r="Y748" i="8" s="1"/>
  <c r="Y842" i="8"/>
  <c r="Y552" i="8"/>
  <c r="AK307" i="8"/>
  <c r="AJ309" i="8"/>
  <c r="AJ692" i="8" s="1"/>
  <c r="Y543" i="8"/>
  <c r="Z542" i="8" s="1"/>
  <c r="AM388" i="8"/>
  <c r="Y704" i="8"/>
  <c r="Y516" i="8"/>
  <c r="AL343" i="8"/>
  <c r="X61" i="12"/>
  <c r="Y659" i="8"/>
  <c r="Y662" i="8"/>
  <c r="Y663" i="8" s="1"/>
  <c r="U139" i="34"/>
  <c r="U140" i="34" s="1"/>
  <c r="U143" i="34" s="1"/>
  <c r="U74" i="34"/>
  <c r="U81" i="34" s="1"/>
  <c r="U83" i="34" s="1"/>
  <c r="Y713" i="8"/>
  <c r="Z712" i="8" s="1"/>
  <c r="AL248" i="8"/>
  <c r="AM126" i="8"/>
  <c r="X62" i="11"/>
  <c r="Y583" i="8"/>
  <c r="X56" i="11"/>
  <c r="Y529" i="8"/>
  <c r="X57" i="12"/>
  <c r="Y623" i="8"/>
  <c r="X54" i="13"/>
  <c r="Y717" i="8"/>
  <c r="AK352" i="8"/>
  <c r="AK429" i="8"/>
  <c r="Y833" i="8"/>
  <c r="Z832" i="8"/>
  <c r="AL180" i="8"/>
  <c r="AE136" i="8"/>
  <c r="AD139" i="8"/>
  <c r="AE134" i="8" s="1"/>
  <c r="AE137" i="8" s="1"/>
  <c r="AE522" i="8" s="1"/>
  <c r="AE294" i="8"/>
  <c r="AD297" i="8"/>
  <c r="AE292" i="8" s="1"/>
  <c r="AE295" i="8" s="1"/>
  <c r="AE679" i="8" s="1"/>
  <c r="AF421" i="8"/>
  <c r="AE424" i="8"/>
  <c r="AF419" i="8" s="1"/>
  <c r="AF422" i="8" s="1"/>
  <c r="AF803" i="8" s="1"/>
  <c r="AI403" i="8"/>
  <c r="AI405" i="8" s="1"/>
  <c r="AH406" i="8"/>
  <c r="AI401" i="8" s="1"/>
  <c r="U77" i="11"/>
  <c r="T41" i="34"/>
  <c r="AK266" i="8"/>
  <c r="X60" i="13"/>
  <c r="Y771" i="8"/>
  <c r="X55" i="14"/>
  <c r="Y801" i="8"/>
  <c r="AC145" i="8"/>
  <c r="AB148" i="8"/>
  <c r="AC143" i="8" s="1"/>
  <c r="AC146" i="8" s="1"/>
  <c r="AC531" i="8" s="1"/>
  <c r="X59" i="11"/>
  <c r="Y559" i="8"/>
  <c r="Y560" i="8" s="1"/>
  <c r="Y556" i="8"/>
  <c r="U86" i="34"/>
  <c r="U88" i="34" s="1"/>
  <c r="U153" i="34"/>
  <c r="U154" i="34" s="1"/>
  <c r="U157" i="34" s="1"/>
  <c r="AJ230" i="8"/>
  <c r="AK447" i="8"/>
  <c r="Y524" i="8"/>
  <c r="AK411" i="8"/>
  <c r="AK438" i="8"/>
  <c r="X60" i="12"/>
  <c r="Y650" i="8"/>
  <c r="Y653" i="8"/>
  <c r="Y654" i="8" s="1"/>
  <c r="AA192" i="8" l="1"/>
  <c r="AA224" i="8"/>
  <c r="AA129" i="8"/>
  <c r="AE484" i="8"/>
  <c r="AB222" i="8"/>
  <c r="AA225" i="8"/>
  <c r="AB220" i="8" s="1"/>
  <c r="AB223" i="8" s="1"/>
  <c r="AB607" i="8" s="1"/>
  <c r="AB127" i="8"/>
  <c r="AA130" i="8"/>
  <c r="AB125" i="8" s="1"/>
  <c r="AB128" i="8" s="1"/>
  <c r="AB513" i="8" s="1"/>
  <c r="Z383" i="8"/>
  <c r="AA378" i="8" s="1"/>
  <c r="AA381" i="8" s="1"/>
  <c r="AA764" i="8" s="1"/>
  <c r="AB391" i="8"/>
  <c r="AB317" i="8"/>
  <c r="AA320" i="8"/>
  <c r="AB315" i="8" s="1"/>
  <c r="AB318" i="8" s="1"/>
  <c r="AB701" i="8" s="1"/>
  <c r="AB175" i="8"/>
  <c r="AC170" i="8" s="1"/>
  <c r="AC173" i="8" s="1"/>
  <c r="AC558" i="8" s="1"/>
  <c r="Z278" i="8"/>
  <c r="Y855" i="8"/>
  <c r="Y858" i="8"/>
  <c r="X61" i="14"/>
  <c r="AA477" i="8"/>
  <c r="AA285" i="8"/>
  <c r="Z288" i="8"/>
  <c r="AA283" i="8" s="1"/>
  <c r="AA286" i="8" s="1"/>
  <c r="AA670" i="8" s="1"/>
  <c r="AB415" i="8"/>
  <c r="AC410" i="8" s="1"/>
  <c r="AC413" i="8" s="1"/>
  <c r="AC794" i="8" s="1"/>
  <c r="AA374" i="8"/>
  <c r="AB369" i="8" s="1"/>
  <c r="AB372" i="8" s="1"/>
  <c r="AB755" i="8" s="1"/>
  <c r="AC231" i="8"/>
  <c r="AB234" i="8"/>
  <c r="AC229" i="8" s="1"/>
  <c r="AC232" i="8" s="1"/>
  <c r="AC616" i="8" s="1"/>
  <c r="Z355" i="8"/>
  <c r="AA353" i="8" s="1"/>
  <c r="AB347" i="8"/>
  <c r="AC342" i="8" s="1"/>
  <c r="AC345" i="8" s="1"/>
  <c r="AC728" i="8" s="1"/>
  <c r="AC344" i="8"/>
  <c r="AC335" i="8"/>
  <c r="AC337" i="8" s="1"/>
  <c r="AD335" i="8" s="1"/>
  <c r="AB154" i="8"/>
  <c r="AA157" i="8"/>
  <c r="AB152" i="8" s="1"/>
  <c r="AB155" i="8" s="1"/>
  <c r="AB540" i="8" s="1"/>
  <c r="Z356" i="8"/>
  <c r="AA351" i="8" s="1"/>
  <c r="AA354" i="8" s="1"/>
  <c r="AA737" i="8" s="1"/>
  <c r="X56" i="13"/>
  <c r="Y738" i="8"/>
  <c r="Y735" i="8"/>
  <c r="W601" i="8"/>
  <c r="X599" i="8" s="1"/>
  <c r="X31" i="12" s="1"/>
  <c r="X78" i="12" s="1"/>
  <c r="X87" i="12" s="1"/>
  <c r="AD329" i="8"/>
  <c r="AE324" i="8" s="1"/>
  <c r="AE327" i="8" s="1"/>
  <c r="AE710" i="8" s="1"/>
  <c r="AA261" i="8"/>
  <c r="AB256" i="8" s="1"/>
  <c r="AB259" i="8" s="1"/>
  <c r="AB643" i="8" s="1"/>
  <c r="AF423" i="8"/>
  <c r="AF424" i="8" s="1"/>
  <c r="AG419" i="8" s="1"/>
  <c r="AG422" i="8" s="1"/>
  <c r="AG803" i="8" s="1"/>
  <c r="AE296" i="8"/>
  <c r="AF294" i="8" s="1"/>
  <c r="AE138" i="8"/>
  <c r="AE139" i="8" s="1"/>
  <c r="AF134" i="8" s="1"/>
  <c r="AF137" i="8" s="1"/>
  <c r="AF522" i="8" s="1"/>
  <c r="AE201" i="8"/>
  <c r="AE202" i="8" s="1"/>
  <c r="AF197" i="8" s="1"/>
  <c r="AF200" i="8" s="1"/>
  <c r="AF585" i="8" s="1"/>
  <c r="Y183" i="8"/>
  <c r="Z181" i="8" s="1"/>
  <c r="AA457" i="8"/>
  <c r="Z460" i="8"/>
  <c r="AA455" i="8" s="1"/>
  <c r="AA458" i="8" s="1"/>
  <c r="AA839" i="8" s="1"/>
  <c r="X60" i="11"/>
  <c r="Y565" i="8"/>
  <c r="AB441" i="8"/>
  <c r="AB442" i="8" s="1"/>
  <c r="AC437" i="8" s="1"/>
  <c r="AC440" i="8" s="1"/>
  <c r="AC821" i="8" s="1"/>
  <c r="AE486" i="8"/>
  <c r="AF484" i="8" s="1"/>
  <c r="AC174" i="8"/>
  <c r="AD172" i="8" s="1"/>
  <c r="Y668" i="8"/>
  <c r="X62" i="12"/>
  <c r="Y671" i="8"/>
  <c r="Y574" i="8"/>
  <c r="X61" i="11"/>
  <c r="AA382" i="8"/>
  <c r="AL284" i="8"/>
  <c r="Y762" i="8"/>
  <c r="Y765" i="8"/>
  <c r="AL474" i="8"/>
  <c r="AK189" i="8"/>
  <c r="AL379" i="8"/>
  <c r="AL438" i="8"/>
  <c r="AL411" i="8"/>
  <c r="Y806" i="8"/>
  <c r="Z805" i="8" s="1"/>
  <c r="Y776" i="8"/>
  <c r="Z775" i="8" s="1"/>
  <c r="AL266" i="8"/>
  <c r="AG421" i="8"/>
  <c r="AL352" i="8"/>
  <c r="Y655" i="8"/>
  <c r="AL447" i="8"/>
  <c r="AK230" i="8"/>
  <c r="Y561" i="8"/>
  <c r="AC147" i="8"/>
  <c r="T52" i="34"/>
  <c r="T61" i="34" s="1"/>
  <c r="T46" i="34"/>
  <c r="U86" i="11"/>
  <c r="U90" i="11" s="1"/>
  <c r="U81" i="11"/>
  <c r="AM180" i="8"/>
  <c r="Y58" i="14"/>
  <c r="Z831" i="8"/>
  <c r="Z828" i="8"/>
  <c r="AB373" i="8"/>
  <c r="AL429" i="8"/>
  <c r="AM248" i="8"/>
  <c r="Y53" i="13"/>
  <c r="Z708" i="8"/>
  <c r="Y664" i="8"/>
  <c r="AM343" i="8"/>
  <c r="Y54" i="11"/>
  <c r="Z514" i="8"/>
  <c r="Z515" i="8" s="1"/>
  <c r="Z511" i="8"/>
  <c r="Y52" i="13"/>
  <c r="Z699" i="8"/>
  <c r="Z702" i="8"/>
  <c r="Z703" i="8" s="1"/>
  <c r="AK309" i="8"/>
  <c r="AK692" i="8" s="1"/>
  <c r="AL307" i="8"/>
  <c r="Y58" i="11"/>
  <c r="Z547" i="8"/>
  <c r="Z550" i="8"/>
  <c r="Z551" i="8" s="1"/>
  <c r="Y59" i="14"/>
  <c r="Z840" i="8"/>
  <c r="Z841" i="8" s="1"/>
  <c r="Z837" i="8"/>
  <c r="Y749" i="8"/>
  <c r="Y797" i="8"/>
  <c r="AM420" i="8"/>
  <c r="X30" i="13"/>
  <c r="X75" i="13" s="1"/>
  <c r="X84" i="13" s="1"/>
  <c r="X694" i="8"/>
  <c r="X33" i="13" s="1"/>
  <c r="Y62" i="14"/>
  <c r="Z864" i="8"/>
  <c r="Y891" i="8"/>
  <c r="Y525" i="8"/>
  <c r="Z524" i="8" s="1"/>
  <c r="AL293" i="8"/>
  <c r="AC432" i="8"/>
  <c r="AM171" i="8"/>
  <c r="AA448" i="8"/>
  <c r="Z451" i="8"/>
  <c r="AA446" i="8" s="1"/>
  <c r="AA449" i="8" s="1"/>
  <c r="AA830" i="8" s="1"/>
  <c r="V86" i="12"/>
  <c r="V89" i="12" s="1"/>
  <c r="V80" i="12"/>
  <c r="Y57" i="14"/>
  <c r="Z819" i="8"/>
  <c r="Y56" i="14"/>
  <c r="Z810" i="8"/>
  <c r="V43" i="34"/>
  <c r="AB242" i="8"/>
  <c r="AM153" i="8"/>
  <c r="AL361" i="8"/>
  <c r="AM275" i="8"/>
  <c r="V44" i="34"/>
  <c r="X56" i="12"/>
  <c r="Y614" i="8"/>
  <c r="Y58" i="13"/>
  <c r="Z756" i="8"/>
  <c r="Z757" i="8" s="1"/>
  <c r="Z753" i="8"/>
  <c r="V67" i="11"/>
  <c r="AL483" i="8"/>
  <c r="AM456" i="8"/>
  <c r="AL465" i="8"/>
  <c r="AM221" i="8"/>
  <c r="AB249" i="8"/>
  <c r="AA252" i="8"/>
  <c r="AB247" i="8" s="1"/>
  <c r="AB250" i="8" s="1"/>
  <c r="AB634" i="8" s="1"/>
  <c r="AJ213" i="8"/>
  <c r="AJ215" i="8" s="1"/>
  <c r="AI216" i="8"/>
  <c r="AJ211" i="8" s="1"/>
  <c r="W54" i="12"/>
  <c r="W65" i="12" s="1"/>
  <c r="X596" i="8"/>
  <c r="AJ403" i="8"/>
  <c r="AJ405" i="8" s="1"/>
  <c r="AI406" i="8"/>
  <c r="AJ401" i="8" s="1"/>
  <c r="Y722" i="8"/>
  <c r="Z721" i="8"/>
  <c r="Y628" i="8"/>
  <c r="Z627" i="8"/>
  <c r="Y534" i="8"/>
  <c r="Z533" i="8" s="1"/>
  <c r="Y588" i="8"/>
  <c r="Z587" i="8" s="1"/>
  <c r="Y57" i="11"/>
  <c r="Z538" i="8"/>
  <c r="AC338" i="8"/>
  <c r="AD333" i="8" s="1"/>
  <c r="AD336" i="8" s="1"/>
  <c r="AD719" i="8" s="1"/>
  <c r="X30" i="14"/>
  <c r="X78" i="14" s="1"/>
  <c r="X87" i="14" s="1"/>
  <c r="X787" i="8"/>
  <c r="X33" i="14" s="1"/>
  <c r="W66" i="14"/>
  <c r="W68" i="14" s="1"/>
  <c r="W77" i="14" s="1"/>
  <c r="AL239" i="8"/>
  <c r="AM370" i="8"/>
  <c r="W64" i="13"/>
  <c r="W66" i="13" s="1"/>
  <c r="W74" i="13" s="1"/>
  <c r="AL119" i="8"/>
  <c r="AL504" i="8" s="1"/>
  <c r="AM117" i="8"/>
  <c r="AM404" i="8"/>
  <c r="AM785" i="8" s="1"/>
  <c r="Y59" i="12"/>
  <c r="Z644" i="8"/>
  <c r="Z641" i="8"/>
  <c r="AB163" i="8"/>
  <c r="AA166" i="8"/>
  <c r="AB161" i="8" s="1"/>
  <c r="AB164" i="8" s="1"/>
  <c r="AB549" i="8" s="1"/>
  <c r="AM135" i="8"/>
  <c r="AL334" i="8"/>
  <c r="AJ118" i="8"/>
  <c r="AJ120" i="8" s="1"/>
  <c r="AI121" i="8"/>
  <c r="AJ116" i="8" s="1"/>
  <c r="AC439" i="8"/>
  <c r="AE487" i="8"/>
  <c r="AF482" i="8" s="1"/>
  <c r="AF485" i="8" s="1"/>
  <c r="AF866" i="8" s="1"/>
  <c r="AC362" i="8"/>
  <c r="AB365" i="8"/>
  <c r="AC360" i="8" s="1"/>
  <c r="AC363" i="8" s="1"/>
  <c r="AC746" i="8" s="1"/>
  <c r="AL214" i="8"/>
  <c r="AL598" i="8" s="1"/>
  <c r="AM212" i="8"/>
  <c r="AC267" i="8"/>
  <c r="AB270" i="8"/>
  <c r="AC265" i="8" s="1"/>
  <c r="AC268" i="8" s="1"/>
  <c r="AC652" i="8" s="1"/>
  <c r="Y63" i="12"/>
  <c r="Z677" i="8"/>
  <c r="Y881" i="8"/>
  <c r="Y60" i="14"/>
  <c r="Z849" i="8"/>
  <c r="Z850" i="8" s="1"/>
  <c r="Z846" i="8"/>
  <c r="Y58" i="12"/>
  <c r="Z632" i="8"/>
  <c r="Y618" i="8"/>
  <c r="W506" i="8"/>
  <c r="W33" i="11" s="1"/>
  <c r="Y731" i="8"/>
  <c r="Z730" i="8" s="1"/>
  <c r="AM198" i="8"/>
  <c r="Y55" i="12"/>
  <c r="Z605" i="8"/>
  <c r="Z608" i="8"/>
  <c r="Z609" i="8" s="1"/>
  <c r="AJ308" i="8"/>
  <c r="AJ310" i="8" s="1"/>
  <c r="AI311" i="8"/>
  <c r="AJ306" i="8" s="1"/>
  <c r="AL257" i="8"/>
  <c r="AC466" i="8"/>
  <c r="AB469" i="8"/>
  <c r="AC464" i="8" s="1"/>
  <c r="AC467" i="8" s="1"/>
  <c r="AC848" i="8" s="1"/>
  <c r="AB190" i="8" l="1"/>
  <c r="AA193" i="8"/>
  <c r="AB188" i="8" s="1"/>
  <c r="AB191" i="8" s="1"/>
  <c r="AB576" i="8" s="1"/>
  <c r="AB129" i="8"/>
  <c r="AB224" i="8"/>
  <c r="AB319" i="8"/>
  <c r="AC317" i="8" s="1"/>
  <c r="AC389" i="8"/>
  <c r="AB392" i="8"/>
  <c r="AC387" i="8" s="1"/>
  <c r="AC390" i="8" s="1"/>
  <c r="AC773" i="8" s="1"/>
  <c r="Z279" i="8"/>
  <c r="AA274" i="8" s="1"/>
  <c r="AA277" i="8" s="1"/>
  <c r="AA661" i="8" s="1"/>
  <c r="AA276" i="8"/>
  <c r="Z859" i="8"/>
  <c r="Y860" i="8"/>
  <c r="AA478" i="8"/>
  <c r="AB473" i="8" s="1"/>
  <c r="AB476" i="8" s="1"/>
  <c r="AB857" i="8" s="1"/>
  <c r="AB475" i="8"/>
  <c r="AA287" i="8"/>
  <c r="AE328" i="8"/>
  <c r="AC346" i="8"/>
  <c r="AC233" i="8"/>
  <c r="AC414" i="8"/>
  <c r="AD412" i="8" s="1"/>
  <c r="Z739" i="8"/>
  <c r="Y740" i="8"/>
  <c r="AA355" i="8"/>
  <c r="AF136" i="8"/>
  <c r="AF138" i="8" s="1"/>
  <c r="AC175" i="8"/>
  <c r="AD170" i="8" s="1"/>
  <c r="AD173" i="8" s="1"/>
  <c r="AD558" i="8" s="1"/>
  <c r="AB260" i="8"/>
  <c r="AB261" i="8" s="1"/>
  <c r="AC256" i="8" s="1"/>
  <c r="AC259" i="8" s="1"/>
  <c r="AC643" i="8" s="1"/>
  <c r="AE297" i="8"/>
  <c r="AF292" i="8" s="1"/>
  <c r="AF295" i="8" s="1"/>
  <c r="AF679" i="8" s="1"/>
  <c r="AB156" i="8"/>
  <c r="X695" i="8"/>
  <c r="AF199" i="8"/>
  <c r="AF201" i="8" s="1"/>
  <c r="Y184" i="8"/>
  <c r="Z179" i="8" s="1"/>
  <c r="Z182" i="8" s="1"/>
  <c r="Z567" i="8" s="1"/>
  <c r="Z876" i="8" s="1"/>
  <c r="AC269" i="8"/>
  <c r="AC270" i="8" s="1"/>
  <c r="AD265" i="8" s="1"/>
  <c r="AD268" i="8" s="1"/>
  <c r="AD652" i="8" s="1"/>
  <c r="AA891" i="8"/>
  <c r="AA459" i="8"/>
  <c r="AC468" i="8"/>
  <c r="AC469" i="8" s="1"/>
  <c r="AD464" i="8" s="1"/>
  <c r="AD467" i="8" s="1"/>
  <c r="AD848" i="8" s="1"/>
  <c r="W507" i="8"/>
  <c r="X505" i="8" s="1"/>
  <c r="X30" i="11" s="1"/>
  <c r="X78" i="11" s="1"/>
  <c r="X87" i="11" s="1"/>
  <c r="AF486" i="8"/>
  <c r="AF487" i="8" s="1"/>
  <c r="AG482" i="8" s="1"/>
  <c r="AG485" i="8" s="1"/>
  <c r="AG866" i="8" s="1"/>
  <c r="AC441" i="8"/>
  <c r="AD439" i="8" s="1"/>
  <c r="AB165" i="8"/>
  <c r="AC163" i="8" s="1"/>
  <c r="AB251" i="8"/>
  <c r="AC249" i="8" s="1"/>
  <c r="AG423" i="8"/>
  <c r="AH421" i="8" s="1"/>
  <c r="AB380" i="8"/>
  <c r="AA383" i="8"/>
  <c r="AB378" i="8" s="1"/>
  <c r="AB381" i="8" s="1"/>
  <c r="AB764" i="8" s="1"/>
  <c r="Y673" i="8"/>
  <c r="Z672" i="8"/>
  <c r="Y570" i="8"/>
  <c r="Z569" i="8"/>
  <c r="AD337" i="8"/>
  <c r="AE335" i="8" s="1"/>
  <c r="AM379" i="8"/>
  <c r="AL189" i="8"/>
  <c r="AM474" i="8"/>
  <c r="Y767" i="8"/>
  <c r="Z766" i="8"/>
  <c r="AM284" i="8"/>
  <c r="Y579" i="8"/>
  <c r="Z578" i="8"/>
  <c r="Z610" i="8"/>
  <c r="Z637" i="8"/>
  <c r="AA632" i="8" s="1"/>
  <c r="AM257" i="8"/>
  <c r="AK308" i="8"/>
  <c r="AK310" i="8" s="1"/>
  <c r="AJ311" i="8"/>
  <c r="AK306" i="8" s="1"/>
  <c r="Y55" i="13"/>
  <c r="Z726" i="8"/>
  <c r="Z851" i="8"/>
  <c r="Z682" i="8"/>
  <c r="AA677" i="8" s="1"/>
  <c r="AM214" i="8"/>
  <c r="AM598" i="8" s="1"/>
  <c r="AC364" i="8"/>
  <c r="Z646" i="8"/>
  <c r="AA645" i="8"/>
  <c r="W83" i="13"/>
  <c r="W86" i="13" s="1"/>
  <c r="W77" i="13"/>
  <c r="AM239" i="8"/>
  <c r="W86" i="14"/>
  <c r="W89" i="14" s="1"/>
  <c r="W80" i="14"/>
  <c r="AK403" i="8"/>
  <c r="AK405" i="8" s="1"/>
  <c r="AJ406" i="8"/>
  <c r="AK401" i="8" s="1"/>
  <c r="AC258" i="8"/>
  <c r="AM483" i="8"/>
  <c r="AD174" i="8"/>
  <c r="Y619" i="8"/>
  <c r="Z618" i="8" s="1"/>
  <c r="V166" i="34"/>
  <c r="V167" i="34" s="1"/>
  <c r="V170" i="34" s="1"/>
  <c r="V91" i="34"/>
  <c r="V93" i="34" s="1"/>
  <c r="AC240" i="8"/>
  <c r="AB243" i="8"/>
  <c r="AC238" i="8" s="1"/>
  <c r="AC241" i="8" s="1"/>
  <c r="AC625" i="8" s="1"/>
  <c r="V42" i="34"/>
  <c r="AA450" i="8"/>
  <c r="AD430" i="8"/>
  <c r="AC433" i="8"/>
  <c r="AD428" i="8" s="1"/>
  <c r="AD431" i="8" s="1"/>
  <c r="AD812" i="8" s="1"/>
  <c r="Y55" i="11"/>
  <c r="Z520" i="8"/>
  <c r="X788" i="8"/>
  <c r="Y54" i="14"/>
  <c r="Z792" i="8"/>
  <c r="Z795" i="8"/>
  <c r="Z796" i="8" s="1"/>
  <c r="Y57" i="13"/>
  <c r="Z747" i="8"/>
  <c r="Z748" i="8" s="1"/>
  <c r="Z744" i="8"/>
  <c r="AM307" i="8"/>
  <c r="AL309" i="8"/>
  <c r="AL692" i="8" s="1"/>
  <c r="Y61" i="12"/>
  <c r="Z662" i="8"/>
  <c r="Z663" i="8" s="1"/>
  <c r="Z659" i="8"/>
  <c r="Z713" i="8"/>
  <c r="AA708" i="8" s="1"/>
  <c r="AC415" i="8"/>
  <c r="AD410" i="8" s="1"/>
  <c r="AD413" i="8" s="1"/>
  <c r="AD794" i="8" s="1"/>
  <c r="AC371" i="8"/>
  <c r="AB374" i="8"/>
  <c r="AC369" i="8" s="1"/>
  <c r="AC372" i="8" s="1"/>
  <c r="AC755" i="8" s="1"/>
  <c r="U41" i="34"/>
  <c r="T62" i="34"/>
  <c r="T66" i="34"/>
  <c r="AM447" i="8"/>
  <c r="Y60" i="12"/>
  <c r="Z653" i="8"/>
  <c r="Z654" i="8" s="1"/>
  <c r="Z650" i="8"/>
  <c r="AM266" i="8"/>
  <c r="Y60" i="13"/>
  <c r="Z771" i="8"/>
  <c r="Y886" i="8"/>
  <c r="Y55" i="14"/>
  <c r="Z801" i="8"/>
  <c r="AM411" i="8"/>
  <c r="AM438" i="8"/>
  <c r="AG484" i="8"/>
  <c r="AC442" i="8"/>
  <c r="AD437" i="8" s="1"/>
  <c r="AD440" i="8" s="1"/>
  <c r="AD821" i="8" s="1"/>
  <c r="AK118" i="8"/>
  <c r="AK120" i="8" s="1"/>
  <c r="AJ121" i="8"/>
  <c r="AK116" i="8" s="1"/>
  <c r="AM334" i="8"/>
  <c r="AM119" i="8"/>
  <c r="AM504" i="8" s="1"/>
  <c r="X51" i="13"/>
  <c r="X62" i="13" s="1"/>
  <c r="X64" i="13" s="1"/>
  <c r="X66" i="13" s="1"/>
  <c r="X74" i="13" s="1"/>
  <c r="Y690" i="8"/>
  <c r="Y693" i="8"/>
  <c r="Y888" i="8" s="1"/>
  <c r="Z543" i="8"/>
  <c r="AA538" i="8" s="1"/>
  <c r="Y62" i="11"/>
  <c r="Z583" i="8"/>
  <c r="Y56" i="11"/>
  <c r="Z529" i="8"/>
  <c r="Y57" i="12"/>
  <c r="Z623" i="8"/>
  <c r="Y54" i="13"/>
  <c r="Z717" i="8"/>
  <c r="W67" i="12"/>
  <c r="W69" i="12" s="1"/>
  <c r="W77" i="12" s="1"/>
  <c r="AK213" i="8"/>
  <c r="AK215" i="8" s="1"/>
  <c r="AJ216" i="8"/>
  <c r="AK211" i="8" s="1"/>
  <c r="AB252" i="8"/>
  <c r="AC247" i="8" s="1"/>
  <c r="AC250" i="8" s="1"/>
  <c r="AC634" i="8" s="1"/>
  <c r="AM465" i="8"/>
  <c r="V69" i="11"/>
  <c r="Z758" i="8"/>
  <c r="AM361" i="8"/>
  <c r="V153" i="34"/>
  <c r="V154" i="34" s="1"/>
  <c r="V157" i="34" s="1"/>
  <c r="V86" i="34"/>
  <c r="V88" i="34" s="1"/>
  <c r="Z815" i="8"/>
  <c r="AA810" i="8" s="1"/>
  <c r="AA814" i="8"/>
  <c r="Z824" i="8"/>
  <c r="AA819" i="8" s="1"/>
  <c r="AM293" i="8"/>
  <c r="Z869" i="8"/>
  <c r="Z842" i="8"/>
  <c r="Z552" i="8"/>
  <c r="Z704" i="8"/>
  <c r="Z516" i="8"/>
  <c r="AF326" i="8"/>
  <c r="AE329" i="8"/>
  <c r="AF324" i="8" s="1"/>
  <c r="AF327" i="8" s="1"/>
  <c r="AF710" i="8" s="1"/>
  <c r="AM429" i="8"/>
  <c r="Z833" i="8"/>
  <c r="AA832" i="8"/>
  <c r="AD145" i="8"/>
  <c r="AC148" i="8"/>
  <c r="AD143" i="8" s="1"/>
  <c r="AD146" i="8" s="1"/>
  <c r="AD531" i="8" s="1"/>
  <c r="Y59" i="11"/>
  <c r="Z556" i="8"/>
  <c r="Z559" i="8"/>
  <c r="Z560" i="8" s="1"/>
  <c r="AL230" i="8"/>
  <c r="AM352" i="8"/>
  <c r="X600" i="8"/>
  <c r="X34" i="12" s="1"/>
  <c r="AB192" i="8" l="1"/>
  <c r="AC222" i="8"/>
  <c r="AB225" i="8"/>
  <c r="AC220" i="8" s="1"/>
  <c r="AC223" i="8" s="1"/>
  <c r="AC607" i="8" s="1"/>
  <c r="AC127" i="8"/>
  <c r="AB130" i="8"/>
  <c r="AC125" i="8" s="1"/>
  <c r="AC128" i="8" s="1"/>
  <c r="AC513" i="8" s="1"/>
  <c r="AB320" i="8"/>
  <c r="AC315" i="8" s="1"/>
  <c r="AC318" i="8" s="1"/>
  <c r="AC701" i="8" s="1"/>
  <c r="AC391" i="8"/>
  <c r="AA278" i="8"/>
  <c r="Y61" i="14"/>
  <c r="Z855" i="8"/>
  <c r="Z858" i="8"/>
  <c r="AB477" i="8"/>
  <c r="AB285" i="8"/>
  <c r="AA288" i="8"/>
  <c r="AB283" i="8" s="1"/>
  <c r="AB286" i="8" s="1"/>
  <c r="AB670" i="8" s="1"/>
  <c r="AC347" i="8"/>
  <c r="AD342" i="8" s="1"/>
  <c r="AD345" i="8" s="1"/>
  <c r="AD728" i="8" s="1"/>
  <c r="AD344" i="8"/>
  <c r="AG424" i="8"/>
  <c r="AH419" i="8" s="1"/>
  <c r="AH422" i="8" s="1"/>
  <c r="AH803" i="8" s="1"/>
  <c r="AD338" i="8"/>
  <c r="AE333" i="8" s="1"/>
  <c r="AE336" i="8" s="1"/>
  <c r="AE719" i="8" s="1"/>
  <c r="AD231" i="8"/>
  <c r="AC234" i="8"/>
  <c r="AD229" i="8" s="1"/>
  <c r="AD232" i="8" s="1"/>
  <c r="AD616" i="8" s="1"/>
  <c r="AC154" i="8"/>
  <c r="AB157" i="8"/>
  <c r="AC152" i="8" s="1"/>
  <c r="AC155" i="8" s="1"/>
  <c r="AC540" i="8" s="1"/>
  <c r="AA356" i="8"/>
  <c r="AB351" i="8" s="1"/>
  <c r="AB354" i="8" s="1"/>
  <c r="AB737" i="8" s="1"/>
  <c r="AB353" i="8"/>
  <c r="AD466" i="8"/>
  <c r="AD468" i="8" s="1"/>
  <c r="Z738" i="8"/>
  <c r="Y56" i="13"/>
  <c r="Z735" i="8"/>
  <c r="AD267" i="8"/>
  <c r="AD269" i="8" s="1"/>
  <c r="AE267" i="8" s="1"/>
  <c r="AB166" i="8"/>
  <c r="AC161" i="8" s="1"/>
  <c r="AC164" i="8" s="1"/>
  <c r="AC549" i="8" s="1"/>
  <c r="AF296" i="8"/>
  <c r="W53" i="11"/>
  <c r="W64" i="11" s="1"/>
  <c r="W67" i="11" s="1"/>
  <c r="X502" i="8"/>
  <c r="AC251" i="8"/>
  <c r="AD249" i="8" s="1"/>
  <c r="Z183" i="8"/>
  <c r="AB457" i="8"/>
  <c r="AA460" i="8"/>
  <c r="AB455" i="8" s="1"/>
  <c r="AB458" i="8" s="1"/>
  <c r="AB839" i="8" s="1"/>
  <c r="AA712" i="8"/>
  <c r="X506" i="8"/>
  <c r="X33" i="11" s="1"/>
  <c r="AB382" i="8"/>
  <c r="AC380" i="8" s="1"/>
  <c r="AD147" i="8"/>
  <c r="AD148" i="8" s="1"/>
  <c r="AE143" i="8" s="1"/>
  <c r="AE146" i="8" s="1"/>
  <c r="AE531" i="8" s="1"/>
  <c r="AF328" i="8"/>
  <c r="AG326" i="8" s="1"/>
  <c r="AD441" i="8"/>
  <c r="AE439" i="8" s="1"/>
  <c r="AG486" i="8"/>
  <c r="AG487" i="8" s="1"/>
  <c r="AH482" i="8" s="1"/>
  <c r="AH485" i="8" s="1"/>
  <c r="AH866" i="8" s="1"/>
  <c r="AA681" i="8"/>
  <c r="AA682" i="8" s="1"/>
  <c r="Y61" i="11"/>
  <c r="Z574" i="8"/>
  <c r="Z765" i="8"/>
  <c r="Z762" i="8"/>
  <c r="AM189" i="8"/>
  <c r="Y60" i="11"/>
  <c r="Z565" i="8"/>
  <c r="Y62" i="12"/>
  <c r="Z671" i="8"/>
  <c r="Z668" i="8"/>
  <c r="AA511" i="8"/>
  <c r="AA514" i="8"/>
  <c r="AA515" i="8" s="1"/>
  <c r="AA702" i="8"/>
  <c r="AA703" i="8" s="1"/>
  <c r="AA699" i="8"/>
  <c r="AA550" i="8"/>
  <c r="AA551" i="8" s="1"/>
  <c r="AA547" i="8"/>
  <c r="AA837" i="8"/>
  <c r="AA840" i="8"/>
  <c r="AA841" i="8" s="1"/>
  <c r="AA864" i="8"/>
  <c r="Z891" i="8"/>
  <c r="AA815" i="8"/>
  <c r="AB810" i="8" s="1"/>
  <c r="AB814" i="8"/>
  <c r="V77" i="11"/>
  <c r="AL213" i="8"/>
  <c r="AL215" i="8" s="1"/>
  <c r="AK216" i="8"/>
  <c r="AL211" i="8" s="1"/>
  <c r="X601" i="8"/>
  <c r="AL118" i="8"/>
  <c r="AL120" i="8" s="1"/>
  <c r="AK121" i="8"/>
  <c r="AL116" i="8" s="1"/>
  <c r="Z806" i="8"/>
  <c r="AA801" i="8" s="1"/>
  <c r="Z655" i="8"/>
  <c r="T68" i="34"/>
  <c r="T124" i="34"/>
  <c r="T125" i="34" s="1"/>
  <c r="T128" i="34" s="1"/>
  <c r="U52" i="34"/>
  <c r="U61" i="34" s="1"/>
  <c r="U46" i="34"/>
  <c r="Z664" i="8"/>
  <c r="Z525" i="8"/>
  <c r="AA520" i="8" s="1"/>
  <c r="AB448" i="8"/>
  <c r="AA451" i="8"/>
  <c r="AB446" i="8" s="1"/>
  <c r="AB449" i="8" s="1"/>
  <c r="AB830" i="8" s="1"/>
  <c r="AE172" i="8"/>
  <c r="AD175" i="8"/>
  <c r="AE170" i="8" s="1"/>
  <c r="AE173" i="8" s="1"/>
  <c r="AE558" i="8" s="1"/>
  <c r="AG294" i="8"/>
  <c r="AF297" i="8"/>
  <c r="AG292" i="8" s="1"/>
  <c r="AG295" i="8" s="1"/>
  <c r="AG679" i="8" s="1"/>
  <c r="W43" i="34"/>
  <c r="AA641" i="8"/>
  <c r="AA644" i="8"/>
  <c r="Y694" i="8"/>
  <c r="Y695" i="8" s="1"/>
  <c r="AM230" i="8"/>
  <c r="Z561" i="8"/>
  <c r="AA831" i="8"/>
  <c r="AA828" i="8"/>
  <c r="AA868" i="8"/>
  <c r="AA823" i="8"/>
  <c r="AA824" i="8" s="1"/>
  <c r="AA753" i="8"/>
  <c r="AA756" i="8"/>
  <c r="AA757" i="8" s="1"/>
  <c r="W86" i="12"/>
  <c r="W89" i="12" s="1"/>
  <c r="W80" i="12"/>
  <c r="Z722" i="8"/>
  <c r="AA717" i="8" s="1"/>
  <c r="AA721" i="8"/>
  <c r="Z628" i="8"/>
  <c r="AA623" i="8" s="1"/>
  <c r="AA627" i="8"/>
  <c r="Z534" i="8"/>
  <c r="AA529" i="8" s="1"/>
  <c r="Z588" i="8"/>
  <c r="AA583" i="8" s="1"/>
  <c r="AA542" i="8"/>
  <c r="AA543" i="8" s="1"/>
  <c r="X83" i="13"/>
  <c r="X86" i="13" s="1"/>
  <c r="X77" i="13"/>
  <c r="AC165" i="8"/>
  <c r="Z776" i="8"/>
  <c r="AA775" i="8" s="1"/>
  <c r="T64" i="34"/>
  <c r="T108" i="34"/>
  <c r="T109" i="34" s="1"/>
  <c r="T112" i="34" s="1"/>
  <c r="AC373" i="8"/>
  <c r="AD414" i="8"/>
  <c r="AA713" i="8"/>
  <c r="AB708" i="8" s="1"/>
  <c r="AM309" i="8"/>
  <c r="AM692" i="8" s="1"/>
  <c r="Z749" i="8"/>
  <c r="Z797" i="8"/>
  <c r="X53" i="14"/>
  <c r="X64" i="14" s="1"/>
  <c r="X66" i="14" s="1"/>
  <c r="X68" i="14" s="1"/>
  <c r="X77" i="14" s="1"/>
  <c r="Y786" i="8"/>
  <c r="Y893" i="8" s="1"/>
  <c r="Y783" i="8"/>
  <c r="Y787" i="8"/>
  <c r="AD432" i="8"/>
  <c r="V139" i="34"/>
  <c r="V140" i="34" s="1"/>
  <c r="V143" i="34" s="1"/>
  <c r="V74" i="34"/>
  <c r="V81" i="34" s="1"/>
  <c r="V83" i="34" s="1"/>
  <c r="AC242" i="8"/>
  <c r="Y56" i="12"/>
  <c r="Z614" i="8"/>
  <c r="AC260" i="8"/>
  <c r="AL403" i="8"/>
  <c r="AL405" i="8" s="1"/>
  <c r="AK406" i="8"/>
  <c r="AL401" i="8" s="1"/>
  <c r="AG136" i="8"/>
  <c r="AF139" i="8"/>
  <c r="AG134" i="8" s="1"/>
  <c r="AG137" i="8" s="1"/>
  <c r="AG522" i="8" s="1"/>
  <c r="W44" i="34"/>
  <c r="AD362" i="8"/>
  <c r="AC365" i="8"/>
  <c r="AD360" i="8" s="1"/>
  <c r="AD363" i="8" s="1"/>
  <c r="AD746" i="8" s="1"/>
  <c r="AA846" i="8"/>
  <c r="AA849" i="8"/>
  <c r="AA850" i="8" s="1"/>
  <c r="Z731" i="8"/>
  <c r="AA726" i="8" s="1"/>
  <c r="AG199" i="8"/>
  <c r="AF202" i="8"/>
  <c r="AG197" i="8" s="1"/>
  <c r="AG200" i="8" s="1"/>
  <c r="AG585" i="8" s="1"/>
  <c r="AL308" i="8"/>
  <c r="AL310" i="8" s="1"/>
  <c r="AK311" i="8"/>
  <c r="AL306" i="8" s="1"/>
  <c r="AA636" i="8"/>
  <c r="AA637" i="8" s="1"/>
  <c r="AA608" i="8"/>
  <c r="AA609" i="8" s="1"/>
  <c r="AA605" i="8"/>
  <c r="AC224" i="8" l="1"/>
  <c r="AC190" i="8"/>
  <c r="AB193" i="8"/>
  <c r="AC188" i="8" s="1"/>
  <c r="AC191" i="8" s="1"/>
  <c r="AC576" i="8" s="1"/>
  <c r="AC129" i="8"/>
  <c r="AD222" i="8"/>
  <c r="AC225" i="8"/>
  <c r="AD220" i="8" s="1"/>
  <c r="AD223" i="8" s="1"/>
  <c r="AD607" i="8" s="1"/>
  <c r="AH484" i="8"/>
  <c r="AC252" i="8"/>
  <c r="AD247" i="8" s="1"/>
  <c r="AD250" i="8" s="1"/>
  <c r="AD634" i="8" s="1"/>
  <c r="AC319" i="8"/>
  <c r="AC392" i="8"/>
  <c r="AD387" i="8" s="1"/>
  <c r="AD390" i="8" s="1"/>
  <c r="AD773" i="8" s="1"/>
  <c r="AD389" i="8"/>
  <c r="AB355" i="8"/>
  <c r="AD346" i="8"/>
  <c r="AE344" i="8" s="1"/>
  <c r="AA279" i="8"/>
  <c r="AB274" i="8" s="1"/>
  <c r="AB277" i="8" s="1"/>
  <c r="AB661" i="8" s="1"/>
  <c r="AB276" i="8"/>
  <c r="Z860" i="8"/>
  <c r="AA859" i="8"/>
  <c r="AE145" i="8"/>
  <c r="AE337" i="8"/>
  <c r="AD442" i="8"/>
  <c r="AE437" i="8" s="1"/>
  <c r="AE440" i="8" s="1"/>
  <c r="AE821" i="8" s="1"/>
  <c r="AF329" i="8"/>
  <c r="AG324" i="8" s="1"/>
  <c r="AG327" i="8" s="1"/>
  <c r="AG710" i="8" s="1"/>
  <c r="AB478" i="8"/>
  <c r="AC473" i="8" s="1"/>
  <c r="AC476" i="8" s="1"/>
  <c r="AC857" i="8" s="1"/>
  <c r="AC475" i="8"/>
  <c r="AB287" i="8"/>
  <c r="AH423" i="8"/>
  <c r="AD233" i="8"/>
  <c r="AD347" i="8"/>
  <c r="AE342" i="8" s="1"/>
  <c r="AE345" i="8" s="1"/>
  <c r="AE728" i="8" s="1"/>
  <c r="AC353" i="8"/>
  <c r="AB356" i="8"/>
  <c r="AC351" i="8" s="1"/>
  <c r="AC354" i="8" s="1"/>
  <c r="AC737" i="8" s="1"/>
  <c r="Z740" i="8"/>
  <c r="AA739" i="8"/>
  <c r="AC156" i="8"/>
  <c r="AD270" i="8"/>
  <c r="AE265" i="8" s="1"/>
  <c r="AE268" i="8" s="1"/>
  <c r="AE652" i="8" s="1"/>
  <c r="Z184" i="8"/>
  <c r="AA179" i="8" s="1"/>
  <c r="AA182" i="8" s="1"/>
  <c r="AA567" i="8" s="1"/>
  <c r="AA876" i="8" s="1"/>
  <c r="AA181" i="8"/>
  <c r="X507" i="8"/>
  <c r="X53" i="11" s="1"/>
  <c r="X64" i="11" s="1"/>
  <c r="X67" i="11" s="1"/>
  <c r="AB459" i="8"/>
  <c r="AB383" i="8"/>
  <c r="AC378" i="8" s="1"/>
  <c r="AC381" i="8" s="1"/>
  <c r="AC764" i="8" s="1"/>
  <c r="AG201" i="8"/>
  <c r="AH199" i="8" s="1"/>
  <c r="AD364" i="8"/>
  <c r="AD365" i="8" s="1"/>
  <c r="AE360" i="8" s="1"/>
  <c r="AE363" i="8" s="1"/>
  <c r="AE746" i="8" s="1"/>
  <c r="AB712" i="8"/>
  <c r="AB713" i="8" s="1"/>
  <c r="AC708" i="8" s="1"/>
  <c r="AA587" i="8"/>
  <c r="AA588" i="8" s="1"/>
  <c r="AB583" i="8" s="1"/>
  <c r="AA533" i="8"/>
  <c r="AA534" i="8" s="1"/>
  <c r="AB529" i="8" s="1"/>
  <c r="Z673" i="8"/>
  <c r="AA672" i="8"/>
  <c r="Z767" i="8"/>
  <c r="AA766" i="8"/>
  <c r="Z579" i="8"/>
  <c r="AA574" i="8" s="1"/>
  <c r="AA578" i="8"/>
  <c r="AA524" i="8"/>
  <c r="AA525" i="8" s="1"/>
  <c r="AB520" i="8" s="1"/>
  <c r="AA805" i="8"/>
  <c r="AA806" i="8" s="1"/>
  <c r="AB801" i="8" s="1"/>
  <c r="AD251" i="8"/>
  <c r="AD252" i="8" s="1"/>
  <c r="AE247" i="8" s="1"/>
  <c r="AE250" i="8" s="1"/>
  <c r="AE634" i="8" s="1"/>
  <c r="AA569" i="8"/>
  <c r="Z570" i="8"/>
  <c r="AA565" i="8" s="1"/>
  <c r="AB819" i="8"/>
  <c r="AB823" i="8"/>
  <c r="AB632" i="8"/>
  <c r="AB636" i="8"/>
  <c r="AB538" i="8"/>
  <c r="AB542" i="8"/>
  <c r="Y51" i="13"/>
  <c r="Y887" i="8"/>
  <c r="Z693" i="8"/>
  <c r="Z888" i="8" s="1"/>
  <c r="Z690" i="8"/>
  <c r="AA610" i="8"/>
  <c r="AA851" i="8"/>
  <c r="AB677" i="8"/>
  <c r="AA881" i="8"/>
  <c r="W166" i="34"/>
  <c r="W167" i="34" s="1"/>
  <c r="W170" i="34" s="1"/>
  <c r="W91" i="34"/>
  <c r="W93" i="34" s="1"/>
  <c r="AA730" i="8"/>
  <c r="AA731" i="8" s="1"/>
  <c r="AB726" i="8" s="1"/>
  <c r="AB681" i="8"/>
  <c r="AG138" i="8"/>
  <c r="AM403" i="8"/>
  <c r="AM405" i="8" s="1"/>
  <c r="AM406" i="8" s="1"/>
  <c r="AL406" i="8"/>
  <c r="AM401" i="8" s="1"/>
  <c r="Z619" i="8"/>
  <c r="AA614" i="8" s="1"/>
  <c r="AD240" i="8"/>
  <c r="AC243" i="8"/>
  <c r="AD238" i="8" s="1"/>
  <c r="AD241" i="8" s="1"/>
  <c r="AD625" i="8" s="1"/>
  <c r="AE430" i="8"/>
  <c r="AD433" i="8"/>
  <c r="AE428" i="8" s="1"/>
  <c r="AE431" i="8" s="1"/>
  <c r="AE812" i="8" s="1"/>
  <c r="Y788" i="8"/>
  <c r="X86" i="14"/>
  <c r="X89" i="14" s="1"/>
  <c r="X80" i="14"/>
  <c r="AA795" i="8"/>
  <c r="AA796" i="8" s="1"/>
  <c r="AA792" i="8"/>
  <c r="AA744" i="8"/>
  <c r="AA747" i="8"/>
  <c r="AA748" i="8" s="1"/>
  <c r="AD371" i="8"/>
  <c r="AC374" i="8"/>
  <c r="AD369" i="8" s="1"/>
  <c r="AD372" i="8" s="1"/>
  <c r="AD755" i="8" s="1"/>
  <c r="AA771" i="8"/>
  <c r="Z886" i="8"/>
  <c r="AD163" i="8"/>
  <c r="AC166" i="8"/>
  <c r="AD161" i="8" s="1"/>
  <c r="AD164" i="8" s="1"/>
  <c r="AD549" i="8" s="1"/>
  <c r="X43" i="34"/>
  <c r="AB533" i="8"/>
  <c r="AA628" i="8"/>
  <c r="AB623" i="8" s="1"/>
  <c r="AB627" i="8"/>
  <c r="AA722" i="8"/>
  <c r="AB717" i="8" s="1"/>
  <c r="AB721" i="8"/>
  <c r="W42" i="34"/>
  <c r="AA758" i="8"/>
  <c r="AA833" i="8"/>
  <c r="AB832" i="8"/>
  <c r="AA559" i="8"/>
  <c r="AA560" i="8" s="1"/>
  <c r="AA556" i="8"/>
  <c r="W153" i="34"/>
  <c r="W154" i="34" s="1"/>
  <c r="W157" i="34" s="1"/>
  <c r="W86" i="34"/>
  <c r="W88" i="34" s="1"/>
  <c r="AG296" i="8"/>
  <c r="AE174" i="8"/>
  <c r="AB450" i="8"/>
  <c r="AA659" i="8"/>
  <c r="AA662" i="8"/>
  <c r="AA663" i="8" s="1"/>
  <c r="AH486" i="8"/>
  <c r="AE441" i="8"/>
  <c r="AM118" i="8"/>
  <c r="AM120" i="8" s="1"/>
  <c r="AM121" i="8" s="1"/>
  <c r="AL121" i="8"/>
  <c r="AM116" i="8" s="1"/>
  <c r="V86" i="11"/>
  <c r="V90" i="11" s="1"/>
  <c r="V81" i="11"/>
  <c r="AA552" i="8"/>
  <c r="AA516" i="8"/>
  <c r="AG328" i="8"/>
  <c r="AE147" i="8"/>
  <c r="W69" i="11"/>
  <c r="AM308" i="8"/>
  <c r="AM310" i="8" s="1"/>
  <c r="AM311" i="8" s="1"/>
  <c r="AL311" i="8"/>
  <c r="AM306" i="8" s="1"/>
  <c r="AD258" i="8"/>
  <c r="AC261" i="8"/>
  <c r="AD256" i="8" s="1"/>
  <c r="AD259" i="8" s="1"/>
  <c r="AD643" i="8" s="1"/>
  <c r="AE412" i="8"/>
  <c r="AD415" i="8"/>
  <c r="AE410" i="8" s="1"/>
  <c r="AE413" i="8" s="1"/>
  <c r="AE794" i="8" s="1"/>
  <c r="AE466" i="8"/>
  <c r="AD469" i="8"/>
  <c r="AE464" i="8" s="1"/>
  <c r="AE467" i="8" s="1"/>
  <c r="AE848" i="8" s="1"/>
  <c r="AB645" i="8"/>
  <c r="AA646" i="8"/>
  <c r="U62" i="34"/>
  <c r="U66" i="34"/>
  <c r="AA650" i="8"/>
  <c r="AA653" i="8"/>
  <c r="AA654" i="8" s="1"/>
  <c r="X54" i="12"/>
  <c r="X65" i="12" s="1"/>
  <c r="X67" i="12" s="1"/>
  <c r="X69" i="12" s="1"/>
  <c r="X77" i="12" s="1"/>
  <c r="Y596" i="8"/>
  <c r="Y599" i="8"/>
  <c r="Y883" i="8" s="1"/>
  <c r="AM213" i="8"/>
  <c r="AM215" i="8" s="1"/>
  <c r="AM216" i="8" s="1"/>
  <c r="AL216" i="8"/>
  <c r="AM211" i="8" s="1"/>
  <c r="AE249" i="8"/>
  <c r="AB815" i="8"/>
  <c r="AC810" i="8" s="1"/>
  <c r="AC814" i="8"/>
  <c r="AA869" i="8"/>
  <c r="AB864" i="8" s="1"/>
  <c r="AB868" i="8"/>
  <c r="AA842" i="8"/>
  <c r="AA704" i="8"/>
  <c r="AC192" i="8" l="1"/>
  <c r="AD224" i="8"/>
  <c r="AD127" i="8"/>
  <c r="AC130" i="8"/>
  <c r="AD125" i="8" s="1"/>
  <c r="AD128" i="8" s="1"/>
  <c r="AD513" i="8" s="1"/>
  <c r="AD317" i="8"/>
  <c r="AC320" i="8"/>
  <c r="AD315" i="8" s="1"/>
  <c r="AD318" i="8" s="1"/>
  <c r="AD701" i="8" s="1"/>
  <c r="AD391" i="8"/>
  <c r="AB278" i="8"/>
  <c r="AA855" i="8"/>
  <c r="AA858" i="8"/>
  <c r="AF335" i="8"/>
  <c r="AE338" i="8"/>
  <c r="AF333" i="8" s="1"/>
  <c r="AF336" i="8" s="1"/>
  <c r="AF719" i="8" s="1"/>
  <c r="AG202" i="8"/>
  <c r="AH197" i="8" s="1"/>
  <c r="AH200" i="8" s="1"/>
  <c r="AH585" i="8" s="1"/>
  <c r="AC477" i="8"/>
  <c r="AE346" i="8"/>
  <c r="AF344" i="8" s="1"/>
  <c r="AC285" i="8"/>
  <c r="AB288" i="8"/>
  <c r="AC283" i="8" s="1"/>
  <c r="AC286" i="8" s="1"/>
  <c r="AC670" i="8" s="1"/>
  <c r="Z694" i="8"/>
  <c r="AE269" i="8"/>
  <c r="AE270" i="8" s="1"/>
  <c r="AF265" i="8" s="1"/>
  <c r="AF268" i="8" s="1"/>
  <c r="AF652" i="8" s="1"/>
  <c r="AE231" i="8"/>
  <c r="AD234" i="8"/>
  <c r="AE229" i="8" s="1"/>
  <c r="AE232" i="8" s="1"/>
  <c r="AE616" i="8" s="1"/>
  <c r="AH424" i="8"/>
  <c r="AI419" i="8" s="1"/>
  <c r="AI422" i="8" s="1"/>
  <c r="AI803" i="8" s="1"/>
  <c r="AI421" i="8"/>
  <c r="Y502" i="8"/>
  <c r="AD154" i="8"/>
  <c r="AC157" i="8"/>
  <c r="AD152" i="8" s="1"/>
  <c r="AD155" i="8" s="1"/>
  <c r="AD540" i="8" s="1"/>
  <c r="AA735" i="8"/>
  <c r="AA738" i="8"/>
  <c r="AC355" i="8"/>
  <c r="Y505" i="8"/>
  <c r="Y878" i="8" s="1"/>
  <c r="AE362" i="8"/>
  <c r="AE364" i="8" s="1"/>
  <c r="AA183" i="8"/>
  <c r="AA184" i="8" s="1"/>
  <c r="AB179" i="8" s="1"/>
  <c r="AB182" i="8" s="1"/>
  <c r="AB567" i="8" s="1"/>
  <c r="AC382" i="8"/>
  <c r="AC383" i="8" s="1"/>
  <c r="AD378" i="8" s="1"/>
  <c r="AD381" i="8" s="1"/>
  <c r="AD764" i="8" s="1"/>
  <c r="AC457" i="8"/>
  <c r="AB460" i="8"/>
  <c r="AC455" i="8" s="1"/>
  <c r="AC458" i="8" s="1"/>
  <c r="AC839" i="8" s="1"/>
  <c r="AD260" i="8"/>
  <c r="AD261" i="8" s="1"/>
  <c r="AE256" i="8" s="1"/>
  <c r="AE259" i="8" s="1"/>
  <c r="AE643" i="8" s="1"/>
  <c r="AB587" i="8"/>
  <c r="AB588" i="8" s="1"/>
  <c r="AC712" i="8"/>
  <c r="AC713" i="8" s="1"/>
  <c r="AD708" i="8" s="1"/>
  <c r="AE251" i="8"/>
  <c r="AF249" i="8" s="1"/>
  <c r="AD242" i="8"/>
  <c r="AE240" i="8" s="1"/>
  <c r="AB569" i="8"/>
  <c r="AA570" i="8"/>
  <c r="AB565" i="8" s="1"/>
  <c r="AA579" i="8"/>
  <c r="AB574" i="8" s="1"/>
  <c r="AB578" i="8"/>
  <c r="AA762" i="8"/>
  <c r="AA765" i="8"/>
  <c r="AA668" i="8"/>
  <c r="AA671" i="8"/>
  <c r="AB699" i="8"/>
  <c r="AB702" i="8"/>
  <c r="AB703" i="8" s="1"/>
  <c r="AB840" i="8"/>
  <c r="AB841" i="8" s="1"/>
  <c r="AB837" i="8"/>
  <c r="AB869" i="8"/>
  <c r="AC868" i="8"/>
  <c r="AC815" i="8"/>
  <c r="AD810" i="8" s="1"/>
  <c r="AD814" i="8"/>
  <c r="X86" i="12"/>
  <c r="X89" i="12" s="1"/>
  <c r="X80" i="12"/>
  <c r="AA655" i="8"/>
  <c r="U108" i="34"/>
  <c r="U109" i="34" s="1"/>
  <c r="U112" i="34" s="1"/>
  <c r="U64" i="34"/>
  <c r="AB644" i="8"/>
  <c r="AB641" i="8"/>
  <c r="AH326" i="8"/>
  <c r="AG329" i="8"/>
  <c r="AH324" i="8" s="1"/>
  <c r="AH327" i="8" s="1"/>
  <c r="AH710" i="8" s="1"/>
  <c r="V41" i="34"/>
  <c r="AF439" i="8"/>
  <c r="AE442" i="8"/>
  <c r="AF437" i="8" s="1"/>
  <c r="AF440" i="8" s="1"/>
  <c r="AF821" i="8" s="1"/>
  <c r="AF267" i="8"/>
  <c r="AA664" i="8"/>
  <c r="AF172" i="8"/>
  <c r="AE175" i="8"/>
  <c r="AF170" i="8" s="1"/>
  <c r="AF173" i="8" s="1"/>
  <c r="AF558" i="8" s="1"/>
  <c r="AA561" i="8"/>
  <c r="W139" i="34"/>
  <c r="W140" i="34" s="1"/>
  <c r="W143" i="34" s="1"/>
  <c r="W74" i="34"/>
  <c r="W81" i="34" s="1"/>
  <c r="W83" i="34" s="1"/>
  <c r="X153" i="34"/>
  <c r="X154" i="34" s="1"/>
  <c r="X157" i="34" s="1"/>
  <c r="X86" i="34"/>
  <c r="X88" i="34" s="1"/>
  <c r="AA797" i="8"/>
  <c r="X69" i="11"/>
  <c r="Z695" i="8"/>
  <c r="Y600" i="8"/>
  <c r="Y601" i="8" s="1"/>
  <c r="U68" i="34"/>
  <c r="U124" i="34"/>
  <c r="U125" i="34" s="1"/>
  <c r="U128" i="34" s="1"/>
  <c r="AE468" i="8"/>
  <c r="AE414" i="8"/>
  <c r="W77" i="11"/>
  <c r="AF145" i="8"/>
  <c r="AE148" i="8"/>
  <c r="AF143" i="8" s="1"/>
  <c r="AF146" i="8" s="1"/>
  <c r="AF531" i="8" s="1"/>
  <c r="AB514" i="8"/>
  <c r="AB515" i="8" s="1"/>
  <c r="AB511" i="8"/>
  <c r="AB547" i="8"/>
  <c r="AB550" i="8"/>
  <c r="AB551" i="8" s="1"/>
  <c r="AI484" i="8"/>
  <c r="AH487" i="8"/>
  <c r="AI482" i="8" s="1"/>
  <c r="AI485" i="8" s="1"/>
  <c r="AI866" i="8" s="1"/>
  <c r="AB805" i="8"/>
  <c r="AB806" i="8" s="1"/>
  <c r="AB524" i="8"/>
  <c r="AB525" i="8" s="1"/>
  <c r="AC448" i="8"/>
  <c r="AB451" i="8"/>
  <c r="AC446" i="8" s="1"/>
  <c r="AC449" i="8" s="1"/>
  <c r="AC830" i="8" s="1"/>
  <c r="AH294" i="8"/>
  <c r="AG297" i="8"/>
  <c r="AH292" i="8" s="1"/>
  <c r="AH295" i="8" s="1"/>
  <c r="AH679" i="8" s="1"/>
  <c r="AB831" i="8"/>
  <c r="AB828" i="8"/>
  <c r="AB756" i="8"/>
  <c r="AB757" i="8" s="1"/>
  <c r="AB753" i="8"/>
  <c r="AB722" i="8"/>
  <c r="AC717" i="8" s="1"/>
  <c r="AC721" i="8"/>
  <c r="AB628" i="8"/>
  <c r="AC623" i="8" s="1"/>
  <c r="AC627" i="8"/>
  <c r="AB534" i="8"/>
  <c r="AC529" i="8" s="1"/>
  <c r="AC533" i="8"/>
  <c r="AD165" i="8"/>
  <c r="AA776" i="8"/>
  <c r="AB775" i="8"/>
  <c r="AD373" i="8"/>
  <c r="AD712" i="8"/>
  <c r="AA749" i="8"/>
  <c r="X44" i="34"/>
  <c r="Y53" i="14"/>
  <c r="Y892" i="8"/>
  <c r="Z783" i="8"/>
  <c r="Z786" i="8"/>
  <c r="AE432" i="8"/>
  <c r="AA618" i="8"/>
  <c r="AA619" i="8" s="1"/>
  <c r="AH136" i="8"/>
  <c r="AG139" i="8"/>
  <c r="AH134" i="8" s="1"/>
  <c r="AH137" i="8" s="1"/>
  <c r="AH522" i="8" s="1"/>
  <c r="AB682" i="8"/>
  <c r="AC681" i="8" s="1"/>
  <c r="AB849" i="8"/>
  <c r="AB850" i="8" s="1"/>
  <c r="AB846" i="8"/>
  <c r="AB730" i="8"/>
  <c r="AB731" i="8" s="1"/>
  <c r="AH201" i="8"/>
  <c r="AB605" i="8"/>
  <c r="AB608" i="8"/>
  <c r="AB609" i="8" s="1"/>
  <c r="AB543" i="8"/>
  <c r="AC538" i="8" s="1"/>
  <c r="AB637" i="8"/>
  <c r="AC632" i="8" s="1"/>
  <c r="AB824" i="8"/>
  <c r="AC819" i="8" s="1"/>
  <c r="AD190" i="8" l="1"/>
  <c r="AC193" i="8"/>
  <c r="AD188" i="8" s="1"/>
  <c r="AD191" i="8" s="1"/>
  <c r="AD576" i="8" s="1"/>
  <c r="AD319" i="8"/>
  <c r="AD129" i="8"/>
  <c r="AE222" i="8"/>
  <c r="AD225" i="8"/>
  <c r="AE220" i="8" s="1"/>
  <c r="AE223" i="8" s="1"/>
  <c r="AE607" i="8" s="1"/>
  <c r="AD156" i="8"/>
  <c r="AE154" i="8" s="1"/>
  <c r="AE389" i="8"/>
  <c r="AD392" i="8"/>
  <c r="AE387" i="8" s="1"/>
  <c r="AE390" i="8" s="1"/>
  <c r="AE773" i="8" s="1"/>
  <c r="AF337" i="8"/>
  <c r="AC276" i="8"/>
  <c r="AB279" i="8"/>
  <c r="AC274" i="8" s="1"/>
  <c r="AC277" i="8" s="1"/>
  <c r="AC661" i="8" s="1"/>
  <c r="AB859" i="8"/>
  <c r="AA860" i="8"/>
  <c r="AE233" i="8"/>
  <c r="AF231" i="8" s="1"/>
  <c r="AE347" i="8"/>
  <c r="AF342" i="8" s="1"/>
  <c r="AF345" i="8" s="1"/>
  <c r="AD475" i="8"/>
  <c r="AC478" i="8"/>
  <c r="AD473" i="8" s="1"/>
  <c r="AD476" i="8" s="1"/>
  <c r="AD857" i="8" s="1"/>
  <c r="AC287" i="8"/>
  <c r="AI423" i="8"/>
  <c r="AD157" i="8"/>
  <c r="AE152" i="8" s="1"/>
  <c r="AE155" i="8" s="1"/>
  <c r="AE540" i="8" s="1"/>
  <c r="AD380" i="8"/>
  <c r="AD382" i="8" s="1"/>
  <c r="AE380" i="8" s="1"/>
  <c r="AC356" i="8"/>
  <c r="AD351" i="8" s="1"/>
  <c r="AD354" i="8" s="1"/>
  <c r="AD737" i="8" s="1"/>
  <c r="AD353" i="8"/>
  <c r="AA740" i="8"/>
  <c r="AB739" i="8"/>
  <c r="AD243" i="8"/>
  <c r="AE238" i="8" s="1"/>
  <c r="AE241" i="8" s="1"/>
  <c r="AE625" i="8" s="1"/>
  <c r="Y506" i="8"/>
  <c r="Y507" i="8" s="1"/>
  <c r="Y877" i="8" s="1"/>
  <c r="AB181" i="8"/>
  <c r="AB183" i="8" s="1"/>
  <c r="AE258" i="8"/>
  <c r="AE260" i="8" s="1"/>
  <c r="AE252" i="8"/>
  <c r="AF247" i="8" s="1"/>
  <c r="AF250" i="8" s="1"/>
  <c r="AF634" i="8" s="1"/>
  <c r="AC459" i="8"/>
  <c r="AD457" i="8" s="1"/>
  <c r="AE156" i="8"/>
  <c r="AE157" i="8" s="1"/>
  <c r="AF152" i="8" s="1"/>
  <c r="AF155" i="8" s="1"/>
  <c r="AF540" i="8" s="1"/>
  <c r="AC450" i="8"/>
  <c r="AC451" i="8" s="1"/>
  <c r="AD446" i="8" s="1"/>
  <c r="AD449" i="8" s="1"/>
  <c r="AD830" i="8" s="1"/>
  <c r="AI486" i="8"/>
  <c r="AJ484" i="8" s="1"/>
  <c r="AH296" i="8"/>
  <c r="AH297" i="8" s="1"/>
  <c r="AI292" i="8" s="1"/>
  <c r="AI295" i="8" s="1"/>
  <c r="AI679" i="8" s="1"/>
  <c r="AC569" i="8"/>
  <c r="AB570" i="8"/>
  <c r="AC565" i="8" s="1"/>
  <c r="AA673" i="8"/>
  <c r="AB672" i="8"/>
  <c r="AA767" i="8"/>
  <c r="AB766" i="8"/>
  <c r="AB579" i="8"/>
  <c r="AC574" i="8" s="1"/>
  <c r="AC578" i="8"/>
  <c r="AC726" i="8"/>
  <c r="AC730" i="8"/>
  <c r="AC520" i="8"/>
  <c r="AC524" i="8"/>
  <c r="Y54" i="12"/>
  <c r="Y882" i="8"/>
  <c r="Z599" i="8"/>
  <c r="Z883" i="8" s="1"/>
  <c r="Z596" i="8"/>
  <c r="AB614" i="8"/>
  <c r="AB618" i="8"/>
  <c r="AC801" i="8"/>
  <c r="AC805" i="8"/>
  <c r="AD542" i="8"/>
  <c r="AD713" i="8"/>
  <c r="AE708" i="8" s="1"/>
  <c r="AE712" i="8"/>
  <c r="AE163" i="8"/>
  <c r="AD166" i="8"/>
  <c r="AE161" i="8" s="1"/>
  <c r="AE164" i="8" s="1"/>
  <c r="AE549" i="8" s="1"/>
  <c r="AC583" i="8"/>
  <c r="AB876" i="8"/>
  <c r="AC628" i="8"/>
  <c r="AD623" i="8" s="1"/>
  <c r="AD627" i="8"/>
  <c r="AC722" i="8"/>
  <c r="AD717" i="8" s="1"/>
  <c r="AD721" i="8"/>
  <c r="AC823" i="8"/>
  <c r="AC824" i="8" s="1"/>
  <c r="AD819" i="8" s="1"/>
  <c r="AC636" i="8"/>
  <c r="AC637" i="8" s="1"/>
  <c r="AC542" i="8"/>
  <c r="AC543" i="8" s="1"/>
  <c r="AD538" i="8" s="1"/>
  <c r="AB610" i="8"/>
  <c r="AB851" i="8"/>
  <c r="AF362" i="8"/>
  <c r="AE365" i="8"/>
  <c r="AF360" i="8" s="1"/>
  <c r="AF363" i="8" s="1"/>
  <c r="AF746" i="8" s="1"/>
  <c r="AH138" i="8"/>
  <c r="Z893" i="8"/>
  <c r="Z787" i="8"/>
  <c r="Z788" i="8" s="1"/>
  <c r="X166" i="34"/>
  <c r="X167" i="34" s="1"/>
  <c r="X170" i="34" s="1"/>
  <c r="X91" i="34"/>
  <c r="X93" i="34" s="1"/>
  <c r="AE371" i="8"/>
  <c r="AD374" i="8"/>
  <c r="AE369" i="8" s="1"/>
  <c r="AE372" i="8" s="1"/>
  <c r="AE755" i="8" s="1"/>
  <c r="AB771" i="8"/>
  <c r="AA886" i="8"/>
  <c r="AC587" i="8"/>
  <c r="AB758" i="8"/>
  <c r="AB833" i="8"/>
  <c r="AC832" i="8"/>
  <c r="AB552" i="8"/>
  <c r="AF147" i="8"/>
  <c r="AF466" i="8"/>
  <c r="AE469" i="8"/>
  <c r="AF464" i="8" s="1"/>
  <c r="AF467" i="8" s="1"/>
  <c r="AF848" i="8" s="1"/>
  <c r="Z887" i="8"/>
  <c r="AA690" i="8"/>
  <c r="AA693" i="8"/>
  <c r="X77" i="11"/>
  <c r="AB792" i="8"/>
  <c r="AB795" i="8"/>
  <c r="AB796" i="8" s="1"/>
  <c r="AB556" i="8"/>
  <c r="AB559" i="8"/>
  <c r="AB560" i="8" s="1"/>
  <c r="AF174" i="8"/>
  <c r="AB662" i="8"/>
  <c r="AB663" i="8" s="1"/>
  <c r="AB659" i="8"/>
  <c r="AF269" i="8"/>
  <c r="AF441" i="8"/>
  <c r="AH328" i="8"/>
  <c r="AB646" i="8"/>
  <c r="AC645" i="8"/>
  <c r="AB842" i="8"/>
  <c r="AI199" i="8"/>
  <c r="AH202" i="8"/>
  <c r="AI197" i="8" s="1"/>
  <c r="AI200" i="8" s="1"/>
  <c r="AI585" i="8" s="1"/>
  <c r="AC677" i="8"/>
  <c r="AB881" i="8"/>
  <c r="AF430" i="8"/>
  <c r="AE433" i="8"/>
  <c r="AF428" i="8" s="1"/>
  <c r="AF431" i="8" s="1"/>
  <c r="AF812" i="8" s="1"/>
  <c r="AB747" i="8"/>
  <c r="AB748" i="8" s="1"/>
  <c r="AB744" i="8"/>
  <c r="AC534" i="8"/>
  <c r="AD529" i="8" s="1"/>
  <c r="AB516" i="8"/>
  <c r="W86" i="11"/>
  <c r="W90" i="11" s="1"/>
  <c r="W81" i="11"/>
  <c r="AF412" i="8"/>
  <c r="AE415" i="8"/>
  <c r="AF410" i="8" s="1"/>
  <c r="AF413" i="8" s="1"/>
  <c r="AF794" i="8" s="1"/>
  <c r="AF154" i="8"/>
  <c r="V52" i="34"/>
  <c r="V61" i="34" s="1"/>
  <c r="V46" i="34"/>
  <c r="AB653" i="8"/>
  <c r="AB654" i="8" s="1"/>
  <c r="AB650" i="8"/>
  <c r="X42" i="34"/>
  <c r="AD815" i="8"/>
  <c r="AE810" i="8" s="1"/>
  <c r="AE814" i="8"/>
  <c r="AC864" i="8"/>
  <c r="AB891" i="8"/>
  <c r="AB704" i="8"/>
  <c r="AE224" i="8" l="1"/>
  <c r="AD192" i="8"/>
  <c r="AD130" i="8"/>
  <c r="AE125" i="8" s="1"/>
  <c r="AE128" i="8" s="1"/>
  <c r="AE513" i="8" s="1"/>
  <c r="AE127" i="8"/>
  <c r="AE391" i="8"/>
  <c r="AE392" i="8" s="1"/>
  <c r="AF387" i="8" s="1"/>
  <c r="AF390" i="8" s="1"/>
  <c r="AF773" i="8" s="1"/>
  <c r="AE317" i="8"/>
  <c r="AD320" i="8"/>
  <c r="AE315" i="8" s="1"/>
  <c r="AE318" i="8" s="1"/>
  <c r="AE701" i="8" s="1"/>
  <c r="AD533" i="8"/>
  <c r="AD823" i="8"/>
  <c r="AF389" i="8"/>
  <c r="AI294" i="8"/>
  <c r="AD448" i="8"/>
  <c r="AE242" i="8"/>
  <c r="AF240" i="8" s="1"/>
  <c r="AC278" i="8"/>
  <c r="AF338" i="8"/>
  <c r="AG333" i="8" s="1"/>
  <c r="AG336" i="8" s="1"/>
  <c r="AG719" i="8" s="1"/>
  <c r="AG335" i="8"/>
  <c r="AB858" i="8"/>
  <c r="AB855" i="8"/>
  <c r="AE234" i="8"/>
  <c r="AF229" i="8" s="1"/>
  <c r="AF232" i="8" s="1"/>
  <c r="AF616" i="8" s="1"/>
  <c r="AD477" i="8"/>
  <c r="AF728" i="8"/>
  <c r="AF346" i="8"/>
  <c r="AD285" i="8"/>
  <c r="AC288" i="8"/>
  <c r="AD283" i="8" s="1"/>
  <c r="AD286" i="8" s="1"/>
  <c r="AD670" i="8" s="1"/>
  <c r="Z502" i="8"/>
  <c r="Y53" i="11"/>
  <c r="Z600" i="8"/>
  <c r="Z601" i="8" s="1"/>
  <c r="AJ421" i="8"/>
  <c r="AI424" i="8"/>
  <c r="AJ419" i="8" s="1"/>
  <c r="AJ422" i="8" s="1"/>
  <c r="AJ803" i="8" s="1"/>
  <c r="AF233" i="8"/>
  <c r="AB738" i="8"/>
  <c r="AB735" i="8"/>
  <c r="Z505" i="8"/>
  <c r="Z878" i="8" s="1"/>
  <c r="AD355" i="8"/>
  <c r="AI487" i="8"/>
  <c r="AJ482" i="8" s="1"/>
  <c r="AJ485" i="8" s="1"/>
  <c r="AJ866" i="8" s="1"/>
  <c r="AF251" i="8"/>
  <c r="AC181" i="8"/>
  <c r="AB184" i="8"/>
  <c r="AC179" i="8" s="1"/>
  <c r="AC182" i="8" s="1"/>
  <c r="AC567" i="8" s="1"/>
  <c r="AC570" i="8" s="1"/>
  <c r="AD565" i="8" s="1"/>
  <c r="AC460" i="8"/>
  <c r="AD455" i="8" s="1"/>
  <c r="AD458" i="8" s="1"/>
  <c r="AD839" i="8" s="1"/>
  <c r="AD891" i="8" s="1"/>
  <c r="AD383" i="8"/>
  <c r="AE378" i="8" s="1"/>
  <c r="AE381" i="8" s="1"/>
  <c r="AE764" i="8" s="1"/>
  <c r="AE165" i="8"/>
  <c r="AE166" i="8" s="1"/>
  <c r="AF161" i="8" s="1"/>
  <c r="AF164" i="8" s="1"/>
  <c r="AF549" i="8" s="1"/>
  <c r="AD569" i="8"/>
  <c r="AF156" i="8"/>
  <c r="AG154" i="8" s="1"/>
  <c r="AE373" i="8"/>
  <c r="AE374" i="8" s="1"/>
  <c r="AF369" i="8" s="1"/>
  <c r="AF372" i="8" s="1"/>
  <c r="AF755" i="8" s="1"/>
  <c r="AC579" i="8"/>
  <c r="AD574" i="8" s="1"/>
  <c r="AD578" i="8"/>
  <c r="AB765" i="8"/>
  <c r="AB762" i="8"/>
  <c r="AB671" i="8"/>
  <c r="AB668" i="8"/>
  <c r="AD632" i="8"/>
  <c r="AD636" i="8"/>
  <c r="AD543" i="8"/>
  <c r="AE538" i="8" s="1"/>
  <c r="AD824" i="8"/>
  <c r="AE819" i="8" s="1"/>
  <c r="Z892" i="8"/>
  <c r="AA786" i="8"/>
  <c r="AA893" i="8" s="1"/>
  <c r="AA783" i="8"/>
  <c r="AE815" i="8"/>
  <c r="AF810" i="8" s="1"/>
  <c r="AF814" i="8"/>
  <c r="X74" i="34"/>
  <c r="X81" i="34" s="1"/>
  <c r="X83" i="34" s="1"/>
  <c r="X139" i="34"/>
  <c r="X140" i="34" s="1"/>
  <c r="X143" i="34" s="1"/>
  <c r="AB655" i="8"/>
  <c r="AF414" i="8"/>
  <c r="W41" i="34"/>
  <c r="AC511" i="8"/>
  <c r="AC514" i="8"/>
  <c r="AC515" i="8" s="1"/>
  <c r="AD534" i="8"/>
  <c r="AE529" i="8" s="1"/>
  <c r="AF432" i="8"/>
  <c r="AC682" i="8"/>
  <c r="AD681" i="8" s="1"/>
  <c r="AI201" i="8"/>
  <c r="AC837" i="8"/>
  <c r="AC840" i="8"/>
  <c r="AC841" i="8" s="1"/>
  <c r="AF258" i="8"/>
  <c r="AE261" i="8"/>
  <c r="AF256" i="8" s="1"/>
  <c r="AF259" i="8" s="1"/>
  <c r="AF643" i="8" s="1"/>
  <c r="AG439" i="8"/>
  <c r="AF442" i="8"/>
  <c r="AG437" i="8" s="1"/>
  <c r="AG440" i="8" s="1"/>
  <c r="AG821" i="8" s="1"/>
  <c r="AB664" i="8"/>
  <c r="AF468" i="8"/>
  <c r="AC550" i="8"/>
  <c r="AC551" i="8" s="1"/>
  <c r="AC547" i="8"/>
  <c r="AB776" i="8"/>
  <c r="AC775" i="8"/>
  <c r="AI136" i="8"/>
  <c r="AH139" i="8"/>
  <c r="AI134" i="8" s="1"/>
  <c r="AI137" i="8" s="1"/>
  <c r="AI522" i="8" s="1"/>
  <c r="AC608" i="8"/>
  <c r="AC609" i="8" s="1"/>
  <c r="AC605" i="8"/>
  <c r="AC525" i="8"/>
  <c r="AD520" i="8" s="1"/>
  <c r="AC702" i="8"/>
  <c r="AC703" i="8" s="1"/>
  <c r="AC699" i="8"/>
  <c r="AC869" i="8"/>
  <c r="AD868" i="8"/>
  <c r="V66" i="34"/>
  <c r="V62" i="34"/>
  <c r="AB749" i="8"/>
  <c r="AC641" i="8"/>
  <c r="AC644" i="8"/>
  <c r="AI326" i="8"/>
  <c r="AH329" i="8"/>
  <c r="AI324" i="8" s="1"/>
  <c r="AI327" i="8" s="1"/>
  <c r="AI710" i="8" s="1"/>
  <c r="AG267" i="8"/>
  <c r="AF270" i="8"/>
  <c r="AG265" i="8" s="1"/>
  <c r="AG268" i="8" s="1"/>
  <c r="AG652" i="8" s="1"/>
  <c r="AG172" i="8"/>
  <c r="AF175" i="8"/>
  <c r="AG170" i="8" s="1"/>
  <c r="AG173" i="8" s="1"/>
  <c r="AG558" i="8" s="1"/>
  <c r="AB561" i="8"/>
  <c r="AB797" i="8"/>
  <c r="X86" i="11"/>
  <c r="X90" i="11" s="1"/>
  <c r="X81" i="11"/>
  <c r="AA888" i="8"/>
  <c r="AA694" i="8"/>
  <c r="AA695" i="8" s="1"/>
  <c r="AG145" i="8"/>
  <c r="AF148" i="8"/>
  <c r="AG143" i="8" s="1"/>
  <c r="AG146" i="8" s="1"/>
  <c r="AG531" i="8" s="1"/>
  <c r="AC831" i="8"/>
  <c r="AC828" i="8"/>
  <c r="AC753" i="8"/>
  <c r="AC756" i="8"/>
  <c r="AC757" i="8" s="1"/>
  <c r="AF364" i="8"/>
  <c r="AC846" i="8"/>
  <c r="AC849" i="8"/>
  <c r="AC850" i="8" s="1"/>
  <c r="AD450" i="8"/>
  <c r="AI296" i="8"/>
  <c r="AD722" i="8"/>
  <c r="AE717" i="8" s="1"/>
  <c r="AE721" i="8"/>
  <c r="AD628" i="8"/>
  <c r="AE623" i="8" s="1"/>
  <c r="AE627" i="8"/>
  <c r="AC588" i="8"/>
  <c r="AD587" i="8" s="1"/>
  <c r="AE713" i="8"/>
  <c r="AF708" i="8" s="1"/>
  <c r="AF712" i="8"/>
  <c r="AC806" i="8"/>
  <c r="AD801" i="8" s="1"/>
  <c r="AB619" i="8"/>
  <c r="AC614" i="8" s="1"/>
  <c r="AC731" i="8"/>
  <c r="AD726" i="8" s="1"/>
  <c r="AD193" i="8" l="1"/>
  <c r="AE188" i="8" s="1"/>
  <c r="AE191" i="8" s="1"/>
  <c r="AE576" i="8" s="1"/>
  <c r="AE190" i="8"/>
  <c r="AE192" i="8" s="1"/>
  <c r="AF190" i="8" s="1"/>
  <c r="AE225" i="8"/>
  <c r="AF220" i="8" s="1"/>
  <c r="AF223" i="8" s="1"/>
  <c r="AF607" i="8" s="1"/>
  <c r="AF222" i="8"/>
  <c r="AF224" i="8" s="1"/>
  <c r="AE319" i="8"/>
  <c r="AE129" i="8"/>
  <c r="AE533" i="8"/>
  <c r="AE823" i="8"/>
  <c r="AE542" i="8"/>
  <c r="AF391" i="8"/>
  <c r="AD730" i="8"/>
  <c r="AF163" i="8"/>
  <c r="AJ486" i="8"/>
  <c r="AE243" i="8"/>
  <c r="AF238" i="8" s="1"/>
  <c r="AF241" i="8" s="1"/>
  <c r="AF625" i="8" s="1"/>
  <c r="AF225" i="8"/>
  <c r="AG220" i="8" s="1"/>
  <c r="AG223" i="8" s="1"/>
  <c r="AG607" i="8" s="1"/>
  <c r="AG222" i="8"/>
  <c r="AG337" i="8"/>
  <c r="AC279" i="8"/>
  <c r="AD274" i="8" s="1"/>
  <c r="AD277" i="8" s="1"/>
  <c r="AD661" i="8" s="1"/>
  <c r="AD881" i="8" s="1"/>
  <c r="AD276" i="8"/>
  <c r="AB860" i="8"/>
  <c r="AC859" i="8"/>
  <c r="AF242" i="8"/>
  <c r="AF347" i="8"/>
  <c r="AG342" i="8" s="1"/>
  <c r="AG345" i="8" s="1"/>
  <c r="AG728" i="8" s="1"/>
  <c r="AG344" i="8"/>
  <c r="AE475" i="8"/>
  <c r="AD478" i="8"/>
  <c r="AE473" i="8" s="1"/>
  <c r="AE476" i="8" s="1"/>
  <c r="AE857" i="8" s="1"/>
  <c r="AE193" i="8"/>
  <c r="AF188" i="8" s="1"/>
  <c r="AF191" i="8" s="1"/>
  <c r="AD287" i="8"/>
  <c r="AJ423" i="8"/>
  <c r="AA787" i="8"/>
  <c r="AG231" i="8"/>
  <c r="AF234" i="8"/>
  <c r="AG229" i="8" s="1"/>
  <c r="AG232" i="8" s="1"/>
  <c r="AG616" i="8" s="1"/>
  <c r="AF252" i="8"/>
  <c r="AG247" i="8" s="1"/>
  <c r="AG250" i="8" s="1"/>
  <c r="AG634" i="8" s="1"/>
  <c r="AG249" i="8"/>
  <c r="Z506" i="8"/>
  <c r="Z507" i="8" s="1"/>
  <c r="Z877" i="8" s="1"/>
  <c r="AC183" i="8"/>
  <c r="AC184" i="8" s="1"/>
  <c r="AD179" i="8" s="1"/>
  <c r="AD182" i="8" s="1"/>
  <c r="AD567" i="8" s="1"/>
  <c r="AD570" i="8" s="1"/>
  <c r="AE565" i="8" s="1"/>
  <c r="AB740" i="8"/>
  <c r="AC739" i="8"/>
  <c r="AD356" i="8"/>
  <c r="AE351" i="8" s="1"/>
  <c r="AE354" i="8" s="1"/>
  <c r="AE737" i="8" s="1"/>
  <c r="AE353" i="8"/>
  <c r="AF157" i="8"/>
  <c r="AG152" i="8" s="1"/>
  <c r="AG155" i="8" s="1"/>
  <c r="AG540" i="8" s="1"/>
  <c r="AF371" i="8"/>
  <c r="AF373" i="8" s="1"/>
  <c r="AD459" i="8"/>
  <c r="AD460" i="8" s="1"/>
  <c r="AE455" i="8" s="1"/>
  <c r="AE458" i="8" s="1"/>
  <c r="AE839" i="8" s="1"/>
  <c r="AD181" i="8"/>
  <c r="AE382" i="8"/>
  <c r="AI328" i="8"/>
  <c r="AG441" i="8"/>
  <c r="AG442" i="8" s="1"/>
  <c r="AH437" i="8" s="1"/>
  <c r="AH440" i="8" s="1"/>
  <c r="AH821" i="8" s="1"/>
  <c r="AF260" i="8"/>
  <c r="AG258" i="8" s="1"/>
  <c r="AG174" i="8"/>
  <c r="AG175" i="8" s="1"/>
  <c r="AH170" i="8" s="1"/>
  <c r="AH173" i="8" s="1"/>
  <c r="AH558" i="8" s="1"/>
  <c r="AG269" i="8"/>
  <c r="AH267" i="8" s="1"/>
  <c r="AB673" i="8"/>
  <c r="AC672" i="8"/>
  <c r="AB767" i="8"/>
  <c r="AC766" i="8"/>
  <c r="AF165" i="8"/>
  <c r="AG163" i="8" s="1"/>
  <c r="AD579" i="8"/>
  <c r="AE574" i="8" s="1"/>
  <c r="AE578" i="8"/>
  <c r="AE569" i="8"/>
  <c r="AA887" i="8"/>
  <c r="AB693" i="8"/>
  <c r="AB888" i="8" s="1"/>
  <c r="AB690" i="8"/>
  <c r="Z882" i="8"/>
  <c r="AA596" i="8"/>
  <c r="AA599" i="8"/>
  <c r="AA883" i="8" s="1"/>
  <c r="AE628" i="8"/>
  <c r="AF623" i="8" s="1"/>
  <c r="AF627" i="8"/>
  <c r="AC851" i="8"/>
  <c r="AC618" i="8"/>
  <c r="AC619" i="8" s="1"/>
  <c r="AD614" i="8" s="1"/>
  <c r="AD805" i="8"/>
  <c r="AD806" i="8" s="1"/>
  <c r="AJ294" i="8"/>
  <c r="AI297" i="8"/>
  <c r="AJ292" i="8" s="1"/>
  <c r="AJ295" i="8" s="1"/>
  <c r="AJ679" i="8" s="1"/>
  <c r="AK484" i="8"/>
  <c r="AJ487" i="8"/>
  <c r="AK482" i="8" s="1"/>
  <c r="AK485" i="8" s="1"/>
  <c r="AK866" i="8" s="1"/>
  <c r="AG362" i="8"/>
  <c r="AF365" i="8"/>
  <c r="AG360" i="8" s="1"/>
  <c r="AG363" i="8" s="1"/>
  <c r="AG746" i="8" s="1"/>
  <c r="AC833" i="8"/>
  <c r="AD832" i="8"/>
  <c r="AG147" i="8"/>
  <c r="AC744" i="8"/>
  <c r="AC747" i="8"/>
  <c r="AC748" i="8" s="1"/>
  <c r="V108" i="34"/>
  <c r="V109" i="34" s="1"/>
  <c r="V112" i="34" s="1"/>
  <c r="V64" i="34"/>
  <c r="AC704" i="8"/>
  <c r="AD524" i="8"/>
  <c r="AD525" i="8" s="1"/>
  <c r="AE520" i="8" s="1"/>
  <c r="AI138" i="8"/>
  <c r="AC771" i="8"/>
  <c r="AB886" i="8"/>
  <c r="AJ199" i="8"/>
  <c r="AI202" i="8"/>
  <c r="AJ197" i="8" s="1"/>
  <c r="AJ200" i="8" s="1"/>
  <c r="AJ585" i="8" s="1"/>
  <c r="AG430" i="8"/>
  <c r="AF433" i="8"/>
  <c r="AG428" i="8" s="1"/>
  <c r="AG431" i="8" s="1"/>
  <c r="AG812" i="8" s="1"/>
  <c r="AE534" i="8"/>
  <c r="AF529" i="8" s="1"/>
  <c r="W52" i="34"/>
  <c r="W61" i="34" s="1"/>
  <c r="W46" i="34"/>
  <c r="AG412" i="8"/>
  <c r="AF415" i="8"/>
  <c r="AG410" i="8" s="1"/>
  <c r="AG413" i="8" s="1"/>
  <c r="AG794" i="8" s="1"/>
  <c r="AC650" i="8"/>
  <c r="AC653" i="8"/>
  <c r="AC654" i="8" s="1"/>
  <c r="AD637" i="8"/>
  <c r="AE632" i="8" s="1"/>
  <c r="AD731" i="8"/>
  <c r="AE726" i="8" s="1"/>
  <c r="AD618" i="8"/>
  <c r="AF713" i="8"/>
  <c r="AG708" i="8" s="1"/>
  <c r="AD583" i="8"/>
  <c r="AC876" i="8"/>
  <c r="AE722" i="8"/>
  <c r="AF717" i="8" s="1"/>
  <c r="AF721" i="8"/>
  <c r="AE448" i="8"/>
  <c r="AD451" i="8"/>
  <c r="AE446" i="8" s="1"/>
  <c r="AE449" i="8" s="1"/>
  <c r="AE830" i="8" s="1"/>
  <c r="AC758" i="8"/>
  <c r="X41" i="34"/>
  <c r="AC795" i="8"/>
  <c r="AC796" i="8" s="1"/>
  <c r="AC792" i="8"/>
  <c r="AC559" i="8"/>
  <c r="AC560" i="8" s="1"/>
  <c r="AC556" i="8"/>
  <c r="AJ326" i="8"/>
  <c r="AI329" i="8"/>
  <c r="AJ324" i="8" s="1"/>
  <c r="AJ327" i="8" s="1"/>
  <c r="AJ710" i="8" s="1"/>
  <c r="AC646" i="8"/>
  <c r="AD645" i="8"/>
  <c r="V68" i="34"/>
  <c r="V124" i="34"/>
  <c r="V125" i="34" s="1"/>
  <c r="V128" i="34" s="1"/>
  <c r="AD864" i="8"/>
  <c r="AC891" i="8"/>
  <c r="AC610" i="8"/>
  <c r="AC552" i="8"/>
  <c r="AG466" i="8"/>
  <c r="AF469" i="8"/>
  <c r="AG464" i="8" s="1"/>
  <c r="AG467" i="8" s="1"/>
  <c r="AG848" i="8" s="1"/>
  <c r="AC659" i="8"/>
  <c r="AC662" i="8"/>
  <c r="AC663" i="8" s="1"/>
  <c r="AC842" i="8"/>
  <c r="AD677" i="8"/>
  <c r="AC881" i="8"/>
  <c r="AC516" i="8"/>
  <c r="AF815" i="8"/>
  <c r="AG810" i="8" s="1"/>
  <c r="AG814" i="8"/>
  <c r="AA788" i="8"/>
  <c r="AF823" i="8"/>
  <c r="AE824" i="8"/>
  <c r="AF819" i="8" s="1"/>
  <c r="AE543" i="8"/>
  <c r="AF538" i="8" s="1"/>
  <c r="AG712" i="8" l="1"/>
  <c r="AF127" i="8"/>
  <c r="AE130" i="8"/>
  <c r="AF125" i="8" s="1"/>
  <c r="AF128" i="8" s="1"/>
  <c r="AF513" i="8" s="1"/>
  <c r="AE320" i="8"/>
  <c r="AF315" i="8" s="1"/>
  <c r="AF318" i="8" s="1"/>
  <c r="AF701" i="8" s="1"/>
  <c r="AF317" i="8"/>
  <c r="AF319" i="8" s="1"/>
  <c r="AF542" i="8"/>
  <c r="AE730" i="8"/>
  <c r="AF533" i="8"/>
  <c r="AF534" i="8" s="1"/>
  <c r="AG529" i="8" s="1"/>
  <c r="AF392" i="8"/>
  <c r="AG387" i="8" s="1"/>
  <c r="AG390" i="8" s="1"/>
  <c r="AG773" i="8" s="1"/>
  <c r="AG389" i="8"/>
  <c r="AH172" i="8"/>
  <c r="AH174" i="8" s="1"/>
  <c r="AH175" i="8" s="1"/>
  <c r="AI170" i="8" s="1"/>
  <c r="AI173" i="8" s="1"/>
  <c r="AI558" i="8" s="1"/>
  <c r="AG224" i="8"/>
  <c r="AD278" i="8"/>
  <c r="AG338" i="8"/>
  <c r="AH333" i="8" s="1"/>
  <c r="AH336" i="8" s="1"/>
  <c r="AH719" i="8" s="1"/>
  <c r="AH335" i="8"/>
  <c r="AE477" i="8"/>
  <c r="AE478" i="8" s="1"/>
  <c r="AF473" i="8" s="1"/>
  <c r="AF476" i="8" s="1"/>
  <c r="AF857" i="8" s="1"/>
  <c r="AC855" i="8"/>
  <c r="AC858" i="8"/>
  <c r="AG346" i="8"/>
  <c r="AF475" i="8"/>
  <c r="AE457" i="8"/>
  <c r="AF243" i="8"/>
  <c r="AG238" i="8" s="1"/>
  <c r="AG241" i="8" s="1"/>
  <c r="AG625" i="8" s="1"/>
  <c r="AG240" i="8"/>
  <c r="AE285" i="8"/>
  <c r="AD288" i="8"/>
  <c r="AE283" i="8" s="1"/>
  <c r="AE286" i="8" s="1"/>
  <c r="AE670" i="8" s="1"/>
  <c r="AF576" i="8"/>
  <c r="AF192" i="8"/>
  <c r="AJ424" i="8"/>
  <c r="AK419" i="8" s="1"/>
  <c r="AK422" i="8" s="1"/>
  <c r="AK803" i="8" s="1"/>
  <c r="AK421" i="8"/>
  <c r="AA505" i="8"/>
  <c r="AA878" i="8" s="1"/>
  <c r="AG233" i="8"/>
  <c r="AE355" i="8"/>
  <c r="AF353" i="8" s="1"/>
  <c r="AF261" i="8"/>
  <c r="AG256" i="8" s="1"/>
  <c r="AG259" i="8" s="1"/>
  <c r="AG643" i="8" s="1"/>
  <c r="AA502" i="8"/>
  <c r="AB694" i="8"/>
  <c r="AB695" i="8" s="1"/>
  <c r="AG251" i="8"/>
  <c r="AC735" i="8"/>
  <c r="AC738" i="8"/>
  <c r="AF166" i="8"/>
  <c r="AG161" i="8" s="1"/>
  <c r="AG164" i="8" s="1"/>
  <c r="AG549" i="8" s="1"/>
  <c r="AG156" i="8"/>
  <c r="AA600" i="8"/>
  <c r="AA601" i="8" s="1"/>
  <c r="AE891" i="8"/>
  <c r="AH439" i="8"/>
  <c r="AH441" i="8" s="1"/>
  <c r="AG270" i="8"/>
  <c r="AH265" i="8" s="1"/>
  <c r="AH268" i="8" s="1"/>
  <c r="AH652" i="8" s="1"/>
  <c r="AD183" i="8"/>
  <c r="AE383" i="8"/>
  <c r="AF378" i="8" s="1"/>
  <c r="AF381" i="8" s="1"/>
  <c r="AF764" i="8" s="1"/>
  <c r="AF380" i="8"/>
  <c r="AE459" i="8"/>
  <c r="AE460" i="8" s="1"/>
  <c r="AF455" i="8" s="1"/>
  <c r="AF458" i="8" s="1"/>
  <c r="AF839" i="8" s="1"/>
  <c r="AE636" i="8"/>
  <c r="AE637" i="8" s="1"/>
  <c r="AF632" i="8" s="1"/>
  <c r="AJ328" i="8"/>
  <c r="AJ329" i="8" s="1"/>
  <c r="AK324" i="8" s="1"/>
  <c r="AK327" i="8" s="1"/>
  <c r="AK710" i="8" s="1"/>
  <c r="AG468" i="8"/>
  <c r="AH466" i="8" s="1"/>
  <c r="AF569" i="8"/>
  <c r="AE579" i="8"/>
  <c r="AF574" i="8" s="1"/>
  <c r="AF578" i="8"/>
  <c r="AC762" i="8"/>
  <c r="AC765" i="8"/>
  <c r="AC668" i="8"/>
  <c r="AC671" i="8"/>
  <c r="AE801" i="8"/>
  <c r="AE805" i="8"/>
  <c r="AD547" i="8"/>
  <c r="AD550" i="8"/>
  <c r="AD551" i="8" s="1"/>
  <c r="AD605" i="8"/>
  <c r="AD608" i="8"/>
  <c r="AD609" i="8" s="1"/>
  <c r="AE524" i="8"/>
  <c r="AE525" i="8" s="1"/>
  <c r="AF520" i="8" s="1"/>
  <c r="AC561" i="8"/>
  <c r="AC797" i="8"/>
  <c r="X52" i="34"/>
  <c r="X61" i="34" s="1"/>
  <c r="X46" i="34"/>
  <c r="AE450" i="8"/>
  <c r="AF722" i="8"/>
  <c r="AG717" i="8" s="1"/>
  <c r="AG721" i="8"/>
  <c r="AD588" i="8"/>
  <c r="AE587" i="8" s="1"/>
  <c r="AG713" i="8"/>
  <c r="AH708" i="8" s="1"/>
  <c r="AD619" i="8"/>
  <c r="AE614" i="8" s="1"/>
  <c r="AE618" i="8"/>
  <c r="AE731" i="8"/>
  <c r="AF726" i="8" s="1"/>
  <c r="AC655" i="8"/>
  <c r="AG414" i="8"/>
  <c r="W62" i="34"/>
  <c r="W66" i="34"/>
  <c r="AG432" i="8"/>
  <c r="AJ201" i="8"/>
  <c r="AC776" i="8"/>
  <c r="AD775" i="8"/>
  <c r="AJ136" i="8"/>
  <c r="AI139" i="8"/>
  <c r="AJ134" i="8" s="1"/>
  <c r="AJ137" i="8" s="1"/>
  <c r="AJ522" i="8" s="1"/>
  <c r="AG364" i="8"/>
  <c r="AK486" i="8"/>
  <c r="AJ296" i="8"/>
  <c r="AF628" i="8"/>
  <c r="AG623" i="8" s="1"/>
  <c r="AG627" i="8"/>
  <c r="AF543" i="8"/>
  <c r="AG538" i="8" s="1"/>
  <c r="AF824" i="8"/>
  <c r="AG819" i="8" s="1"/>
  <c r="AA892" i="8"/>
  <c r="AB783" i="8"/>
  <c r="AB786" i="8"/>
  <c r="AG815" i="8"/>
  <c r="AH810" i="8" s="1"/>
  <c r="AH814" i="8"/>
  <c r="AD514" i="8"/>
  <c r="AD515" i="8" s="1"/>
  <c r="AD511" i="8"/>
  <c r="AD682" i="8"/>
  <c r="AE677" i="8" s="1"/>
  <c r="AD840" i="8"/>
  <c r="AD841" i="8" s="1"/>
  <c r="AD837" i="8"/>
  <c r="AC664" i="8"/>
  <c r="AD869" i="8"/>
  <c r="AE864" i="8" s="1"/>
  <c r="AE868" i="8"/>
  <c r="AD644" i="8"/>
  <c r="AD641" i="8"/>
  <c r="AD756" i="8"/>
  <c r="AD757" i="8" s="1"/>
  <c r="AD753" i="8"/>
  <c r="AG371" i="8"/>
  <c r="AF374" i="8"/>
  <c r="AG369" i="8" s="1"/>
  <c r="AG372" i="8" s="1"/>
  <c r="AG755" i="8" s="1"/>
  <c r="AD699" i="8"/>
  <c r="AD702" i="8"/>
  <c r="AD703" i="8" s="1"/>
  <c r="AC749" i="8"/>
  <c r="AH145" i="8"/>
  <c r="AG148" i="8"/>
  <c r="AH143" i="8" s="1"/>
  <c r="AH146" i="8" s="1"/>
  <c r="AH531" i="8" s="1"/>
  <c r="AD831" i="8"/>
  <c r="AD828" i="8"/>
  <c r="AD849" i="8"/>
  <c r="AD850" i="8" s="1"/>
  <c r="AD846" i="8"/>
  <c r="AG391" i="8" l="1"/>
  <c r="AF129" i="8"/>
  <c r="AG317" i="8"/>
  <c r="AF320" i="8"/>
  <c r="AG315" i="8" s="1"/>
  <c r="AG318" i="8" s="1"/>
  <c r="AG701" i="8" s="1"/>
  <c r="AG165" i="8"/>
  <c r="AG166" i="8" s="1"/>
  <c r="AH161" i="8" s="1"/>
  <c r="AH164" i="8" s="1"/>
  <c r="AH549" i="8" s="1"/>
  <c r="AF730" i="8"/>
  <c r="AG823" i="8"/>
  <c r="AG542" i="8"/>
  <c r="AG533" i="8"/>
  <c r="AH712" i="8"/>
  <c r="AG392" i="8"/>
  <c r="AH387" i="8" s="1"/>
  <c r="AH390" i="8" s="1"/>
  <c r="AH773" i="8" s="1"/>
  <c r="AH389" i="8"/>
  <c r="AI172" i="8"/>
  <c r="AG225" i="8"/>
  <c r="AH220" i="8" s="1"/>
  <c r="AH223" i="8" s="1"/>
  <c r="AH607" i="8" s="1"/>
  <c r="AH222" i="8"/>
  <c r="AA506" i="8"/>
  <c r="AH337" i="8"/>
  <c r="AD279" i="8"/>
  <c r="AE274" i="8" s="1"/>
  <c r="AE277" i="8" s="1"/>
  <c r="AE661" i="8" s="1"/>
  <c r="AE276" i="8"/>
  <c r="AC860" i="8"/>
  <c r="AD859" i="8"/>
  <c r="AG469" i="8"/>
  <c r="AH464" i="8" s="1"/>
  <c r="AH467" i="8" s="1"/>
  <c r="AH848" i="8" s="1"/>
  <c r="AH344" i="8"/>
  <c r="AG347" i="8"/>
  <c r="AH342" i="8" s="1"/>
  <c r="AH345" i="8" s="1"/>
  <c r="AH728" i="8" s="1"/>
  <c r="AG260" i="8"/>
  <c r="AG261" i="8" s="1"/>
  <c r="AH256" i="8" s="1"/>
  <c r="AH259" i="8" s="1"/>
  <c r="AH643" i="8" s="1"/>
  <c r="AG242" i="8"/>
  <c r="AF477" i="8"/>
  <c r="AG190" i="8"/>
  <c r="AF193" i="8"/>
  <c r="AG188" i="8" s="1"/>
  <c r="AG191" i="8" s="1"/>
  <c r="AG576" i="8" s="1"/>
  <c r="AE287" i="8"/>
  <c r="AE356" i="8"/>
  <c r="AF351" i="8" s="1"/>
  <c r="AF354" i="8" s="1"/>
  <c r="AF737" i="8" s="1"/>
  <c r="AH231" i="8"/>
  <c r="AG234" i="8"/>
  <c r="AH229" i="8" s="1"/>
  <c r="AH232" i="8" s="1"/>
  <c r="AH616" i="8" s="1"/>
  <c r="AA507" i="8"/>
  <c r="AA877" i="8" s="1"/>
  <c r="AK423" i="8"/>
  <c r="AI439" i="8"/>
  <c r="AH442" i="8"/>
  <c r="AI437" i="8" s="1"/>
  <c r="AI440" i="8" s="1"/>
  <c r="AI821" i="8" s="1"/>
  <c r="AD739" i="8"/>
  <c r="AC740" i="8"/>
  <c r="AG252" i="8"/>
  <c r="AH247" i="8" s="1"/>
  <c r="AH250" i="8" s="1"/>
  <c r="AH634" i="8" s="1"/>
  <c r="AH249" i="8"/>
  <c r="AG157" i="8"/>
  <c r="AH152" i="8" s="1"/>
  <c r="AH155" i="8" s="1"/>
  <c r="AH540" i="8" s="1"/>
  <c r="AH154" i="8"/>
  <c r="AK326" i="8"/>
  <c r="AK328" i="8" s="1"/>
  <c r="AH269" i="8"/>
  <c r="AG373" i="8"/>
  <c r="AH371" i="8" s="1"/>
  <c r="AE181" i="8"/>
  <c r="AD184" i="8"/>
  <c r="AE179" i="8" s="1"/>
  <c r="AE182" i="8" s="1"/>
  <c r="AE567" i="8" s="1"/>
  <c r="AE681" i="8"/>
  <c r="AE682" i="8" s="1"/>
  <c r="AF681" i="8" s="1"/>
  <c r="AF457" i="8"/>
  <c r="AF459" i="8" s="1"/>
  <c r="AF382" i="8"/>
  <c r="AF524" i="8"/>
  <c r="AF525" i="8" s="1"/>
  <c r="AG520" i="8" s="1"/>
  <c r="AC673" i="8"/>
  <c r="AD672" i="8"/>
  <c r="AC767" i="8"/>
  <c r="AD766" i="8"/>
  <c r="AF579" i="8"/>
  <c r="AG574" i="8" s="1"/>
  <c r="AG578" i="8"/>
  <c r="AH147" i="8"/>
  <c r="AI145" i="8" s="1"/>
  <c r="AD747" i="8"/>
  <c r="AD748" i="8" s="1"/>
  <c r="AD744" i="8"/>
  <c r="AD704" i="8"/>
  <c r="AG374" i="8"/>
  <c r="AH369" i="8" s="1"/>
  <c r="AH372" i="8" s="1"/>
  <c r="AH755" i="8" s="1"/>
  <c r="AD646" i="8"/>
  <c r="AE645" i="8"/>
  <c r="AD842" i="8"/>
  <c r="AB893" i="8"/>
  <c r="AB787" i="8"/>
  <c r="AB788" i="8" s="1"/>
  <c r="AG824" i="8"/>
  <c r="AH819" i="8" s="1"/>
  <c r="AG543" i="8"/>
  <c r="AH538" i="8" s="1"/>
  <c r="AH163" i="8"/>
  <c r="AG628" i="8"/>
  <c r="AH623" i="8" s="1"/>
  <c r="AH627" i="8"/>
  <c r="AL484" i="8"/>
  <c r="AK487" i="8"/>
  <c r="AL482" i="8" s="1"/>
  <c r="AL485" i="8" s="1"/>
  <c r="AL866" i="8" s="1"/>
  <c r="AK199" i="8"/>
  <c r="AJ202" i="8"/>
  <c r="AK197" i="8" s="1"/>
  <c r="AK200" i="8" s="1"/>
  <c r="AK585" i="8" s="1"/>
  <c r="W124" i="34"/>
  <c r="W125" i="34" s="1"/>
  <c r="W128" i="34" s="1"/>
  <c r="W68" i="34"/>
  <c r="AH412" i="8"/>
  <c r="AG415" i="8"/>
  <c r="AH410" i="8" s="1"/>
  <c r="AH413" i="8" s="1"/>
  <c r="AH794" i="8" s="1"/>
  <c r="AD653" i="8"/>
  <c r="AD654" i="8" s="1"/>
  <c r="AD650" i="8"/>
  <c r="AF636" i="8"/>
  <c r="AF637" i="8" s="1"/>
  <c r="AG632" i="8" s="1"/>
  <c r="AE619" i="8"/>
  <c r="AF614" i="8" s="1"/>
  <c r="AF618" i="8"/>
  <c r="AH713" i="8"/>
  <c r="AI708" i="8" s="1"/>
  <c r="AE583" i="8"/>
  <c r="AD876" i="8"/>
  <c r="AG722" i="8"/>
  <c r="AH717" i="8" s="1"/>
  <c r="AH721" i="8"/>
  <c r="X66" i="34"/>
  <c r="X62" i="34"/>
  <c r="AD792" i="8"/>
  <c r="AD795" i="8"/>
  <c r="AD796" i="8" s="1"/>
  <c r="AD556" i="8"/>
  <c r="AD559" i="8"/>
  <c r="AD560" i="8" s="1"/>
  <c r="AB887" i="8"/>
  <c r="AC690" i="8"/>
  <c r="AC693" i="8"/>
  <c r="AC888" i="8" s="1"/>
  <c r="AD758" i="8"/>
  <c r="AD851" i="8"/>
  <c r="AD833" i="8"/>
  <c r="AE832" i="8"/>
  <c r="AI174" i="8"/>
  <c r="AE869" i="8"/>
  <c r="AF864" i="8" s="1"/>
  <c r="AF868" i="8"/>
  <c r="AH468" i="8"/>
  <c r="AD662" i="8"/>
  <c r="AD663" i="8" s="1"/>
  <c r="AD659" i="8"/>
  <c r="AD516" i="8"/>
  <c r="AI814" i="8"/>
  <c r="AA882" i="8"/>
  <c r="AB599" i="8"/>
  <c r="AB596" i="8"/>
  <c r="AK294" i="8"/>
  <c r="AJ297" i="8"/>
  <c r="AK292" i="8" s="1"/>
  <c r="AK295" i="8" s="1"/>
  <c r="AK679" i="8" s="1"/>
  <c r="AH362" i="8"/>
  <c r="AG365" i="8"/>
  <c r="AH360" i="8" s="1"/>
  <c r="AH363" i="8" s="1"/>
  <c r="AH746" i="8" s="1"/>
  <c r="AJ138" i="8"/>
  <c r="AD771" i="8"/>
  <c r="AC886" i="8"/>
  <c r="AH430" i="8"/>
  <c r="AG433" i="8"/>
  <c r="AH428" i="8" s="1"/>
  <c r="AH431" i="8" s="1"/>
  <c r="AH812" i="8" s="1"/>
  <c r="AH815" i="8" s="1"/>
  <c r="AI810" i="8" s="1"/>
  <c r="AG534" i="8"/>
  <c r="AH529" i="8" s="1"/>
  <c r="W108" i="34"/>
  <c r="W109" i="34" s="1"/>
  <c r="W112" i="34" s="1"/>
  <c r="W64" i="34"/>
  <c r="AF731" i="8"/>
  <c r="AG726" i="8" s="1"/>
  <c r="AF448" i="8"/>
  <c r="AE451" i="8"/>
  <c r="AF446" i="8" s="1"/>
  <c r="AF449" i="8" s="1"/>
  <c r="AF830" i="8" s="1"/>
  <c r="AF891" i="8" s="1"/>
  <c r="AD610" i="8"/>
  <c r="AD552" i="8"/>
  <c r="AE806" i="8"/>
  <c r="AF801" i="8" s="1"/>
  <c r="AG319" i="8" l="1"/>
  <c r="AF130" i="8"/>
  <c r="AG125" i="8" s="1"/>
  <c r="AG128" i="8" s="1"/>
  <c r="AG513" i="8" s="1"/>
  <c r="AG127" i="8"/>
  <c r="AI712" i="8"/>
  <c r="AH823" i="8"/>
  <c r="AG730" i="8"/>
  <c r="AH533" i="8"/>
  <c r="AH542" i="8"/>
  <c r="AH391" i="8"/>
  <c r="AH224" i="8"/>
  <c r="AI222" i="8" s="1"/>
  <c r="AH258" i="8"/>
  <c r="AH260" i="8" s="1"/>
  <c r="AE278" i="8"/>
  <c r="AI335" i="8"/>
  <c r="AH338" i="8"/>
  <c r="AI333" i="8" s="1"/>
  <c r="AI336" i="8" s="1"/>
  <c r="AI719" i="8" s="1"/>
  <c r="AD858" i="8"/>
  <c r="AD855" i="8"/>
  <c r="AH346" i="8"/>
  <c r="AG475" i="8"/>
  <c r="AF478" i="8"/>
  <c r="AG473" i="8" s="1"/>
  <c r="AG476" i="8" s="1"/>
  <c r="AG857" i="8" s="1"/>
  <c r="AH240" i="8"/>
  <c r="AG243" i="8"/>
  <c r="AH238" i="8" s="1"/>
  <c r="AH241" i="8" s="1"/>
  <c r="AH625" i="8" s="1"/>
  <c r="AI441" i="8"/>
  <c r="AI442" i="8" s="1"/>
  <c r="AJ437" i="8" s="1"/>
  <c r="AJ440" i="8" s="1"/>
  <c r="AJ821" i="8" s="1"/>
  <c r="AF355" i="8"/>
  <c r="AF285" i="8"/>
  <c r="AE288" i="8"/>
  <c r="AF283" i="8" s="1"/>
  <c r="AF286" i="8" s="1"/>
  <c r="AF670" i="8" s="1"/>
  <c r="AG192" i="8"/>
  <c r="AK424" i="8"/>
  <c r="AL419" i="8" s="1"/>
  <c r="AL422" i="8" s="1"/>
  <c r="AL803" i="8" s="1"/>
  <c r="AL421" i="8"/>
  <c r="AB505" i="8"/>
  <c r="AB878" i="8" s="1"/>
  <c r="AH233" i="8"/>
  <c r="AB502" i="8"/>
  <c r="AH251" i="8"/>
  <c r="AH252" i="8" s="1"/>
  <c r="AI247" i="8" s="1"/>
  <c r="AI250" i="8" s="1"/>
  <c r="AI634" i="8" s="1"/>
  <c r="AH148" i="8"/>
  <c r="AI143" i="8" s="1"/>
  <c r="AI146" i="8" s="1"/>
  <c r="AI531" i="8" s="1"/>
  <c r="AI249" i="8"/>
  <c r="AD738" i="8"/>
  <c r="AD735" i="8"/>
  <c r="AH156" i="8"/>
  <c r="AE183" i="8"/>
  <c r="AE184" i="8" s="1"/>
  <c r="AF179" i="8" s="1"/>
  <c r="AF182" i="8" s="1"/>
  <c r="AF567" i="8" s="1"/>
  <c r="AH270" i="8"/>
  <c r="AI265" i="8" s="1"/>
  <c r="AI268" i="8" s="1"/>
  <c r="AI652" i="8" s="1"/>
  <c r="AI267" i="8"/>
  <c r="AE876" i="8"/>
  <c r="AE570" i="8"/>
  <c r="AF565" i="8" s="1"/>
  <c r="AF383" i="8"/>
  <c r="AG378" i="8" s="1"/>
  <c r="AG381" i="8" s="1"/>
  <c r="AG764" i="8" s="1"/>
  <c r="AG380" i="8"/>
  <c r="AF805" i="8"/>
  <c r="AF806" i="8" s="1"/>
  <c r="AG801" i="8" s="1"/>
  <c r="AG457" i="8"/>
  <c r="AF460" i="8"/>
  <c r="AG455" i="8" s="1"/>
  <c r="AG458" i="8" s="1"/>
  <c r="AG839" i="8" s="1"/>
  <c r="AG636" i="8"/>
  <c r="AG637" i="8" s="1"/>
  <c r="AH632" i="8" s="1"/>
  <c r="AH364" i="8"/>
  <c r="AH365" i="8" s="1"/>
  <c r="AI360" i="8" s="1"/>
  <c r="AI363" i="8" s="1"/>
  <c r="AI746" i="8" s="1"/>
  <c r="AK296" i="8"/>
  <c r="AK297" i="8" s="1"/>
  <c r="AL292" i="8" s="1"/>
  <c r="AL295" i="8" s="1"/>
  <c r="AL679" i="8" s="1"/>
  <c r="AH373" i="8"/>
  <c r="AH374" i="8" s="1"/>
  <c r="AI369" i="8" s="1"/>
  <c r="AI372" i="8" s="1"/>
  <c r="AI755" i="8" s="1"/>
  <c r="AD765" i="8"/>
  <c r="AD762" i="8"/>
  <c r="AD671" i="8"/>
  <c r="AD668" i="8"/>
  <c r="AG524" i="8"/>
  <c r="AG525" i="8" s="1"/>
  <c r="AH520" i="8" s="1"/>
  <c r="AG579" i="8"/>
  <c r="AH574" i="8" s="1"/>
  <c r="AH578" i="8"/>
  <c r="AJ814" i="8"/>
  <c r="AB506" i="8"/>
  <c r="AB507" i="8" s="1"/>
  <c r="AE550" i="8"/>
  <c r="AE551" i="8" s="1"/>
  <c r="AE547" i="8"/>
  <c r="AE608" i="8"/>
  <c r="AE609" i="8" s="1"/>
  <c r="AE605" i="8"/>
  <c r="AF450" i="8"/>
  <c r="AG731" i="8"/>
  <c r="AH726" i="8" s="1"/>
  <c r="AH534" i="8"/>
  <c r="AI529" i="8" s="1"/>
  <c r="AH432" i="8"/>
  <c r="AD776" i="8"/>
  <c r="AE775" i="8"/>
  <c r="AB892" i="8"/>
  <c r="AC786" i="8"/>
  <c r="AC783" i="8"/>
  <c r="AE511" i="8"/>
  <c r="AE514" i="8"/>
  <c r="AE515" i="8" s="1"/>
  <c r="AF677" i="8"/>
  <c r="AE881" i="8"/>
  <c r="AI258" i="8"/>
  <c r="AH261" i="8"/>
  <c r="AI256" i="8" s="1"/>
  <c r="AI259" i="8" s="1"/>
  <c r="AI643" i="8" s="1"/>
  <c r="AD664" i="8"/>
  <c r="AI466" i="8"/>
  <c r="AH469" i="8"/>
  <c r="AI464" i="8" s="1"/>
  <c r="AI467" i="8" s="1"/>
  <c r="AI848" i="8" s="1"/>
  <c r="AF869" i="8"/>
  <c r="AG864" i="8" s="1"/>
  <c r="AG868" i="8"/>
  <c r="AL326" i="8"/>
  <c r="AK329" i="8"/>
  <c r="AL324" i="8" s="1"/>
  <c r="AL327" i="8" s="1"/>
  <c r="AL710" i="8" s="1"/>
  <c r="AJ172" i="8"/>
  <c r="AI175" i="8"/>
  <c r="AJ170" i="8" s="1"/>
  <c r="AJ173" i="8" s="1"/>
  <c r="AJ558" i="8" s="1"/>
  <c r="AC694" i="8"/>
  <c r="AC695" i="8" s="1"/>
  <c r="AE753" i="8"/>
  <c r="AE756" i="8"/>
  <c r="AE757" i="8" s="1"/>
  <c r="X108" i="34"/>
  <c r="X109" i="34" s="1"/>
  <c r="X112" i="34" s="1"/>
  <c r="X64" i="34"/>
  <c r="AH414" i="8"/>
  <c r="AK201" i="8"/>
  <c r="AL486" i="8"/>
  <c r="AH628" i="8"/>
  <c r="AI623" i="8" s="1"/>
  <c r="AI627" i="8"/>
  <c r="AH165" i="8"/>
  <c r="AH543" i="8"/>
  <c r="AI538" i="8" s="1"/>
  <c r="AD749" i="8"/>
  <c r="AK136" i="8"/>
  <c r="AJ139" i="8"/>
  <c r="AK134" i="8" s="1"/>
  <c r="AK137" i="8" s="1"/>
  <c r="AK522" i="8" s="1"/>
  <c r="AB883" i="8"/>
  <c r="AB600" i="8"/>
  <c r="AB601" i="8" s="1"/>
  <c r="AJ439" i="8"/>
  <c r="AE831" i="8"/>
  <c r="AE828" i="8"/>
  <c r="AE846" i="8"/>
  <c r="AE849" i="8"/>
  <c r="AE850" i="8" s="1"/>
  <c r="AD561" i="8"/>
  <c r="AD797" i="8"/>
  <c r="X124" i="34"/>
  <c r="X125" i="34" s="1"/>
  <c r="X128" i="34" s="1"/>
  <c r="X68" i="34"/>
  <c r="AH722" i="8"/>
  <c r="AI717" i="8" s="1"/>
  <c r="AI721" i="8"/>
  <c r="AE588" i="8"/>
  <c r="AF583" i="8" s="1"/>
  <c r="AI713" i="8"/>
  <c r="AJ708" i="8" s="1"/>
  <c r="AJ712" i="8"/>
  <c r="AF619" i="8"/>
  <c r="AG614" i="8" s="1"/>
  <c r="AG618" i="8"/>
  <c r="AD655" i="8"/>
  <c r="AH824" i="8"/>
  <c r="AI819" i="8" s="1"/>
  <c r="AE837" i="8"/>
  <c r="AE840" i="8"/>
  <c r="AE841" i="8" s="1"/>
  <c r="AE641" i="8"/>
  <c r="AE644" i="8"/>
  <c r="AI371" i="8"/>
  <c r="AE702" i="8"/>
  <c r="AE703" i="8" s="1"/>
  <c r="AE699" i="8"/>
  <c r="AG320" i="8" l="1"/>
  <c r="AH315" i="8" s="1"/>
  <c r="AH318" i="8" s="1"/>
  <c r="AH701" i="8" s="1"/>
  <c r="AH317" i="8"/>
  <c r="AH319" i="8" s="1"/>
  <c r="AF181" i="8"/>
  <c r="AG129" i="8"/>
  <c r="AI533" i="8"/>
  <c r="AH392" i="8"/>
  <c r="AI387" i="8" s="1"/>
  <c r="AI390" i="8" s="1"/>
  <c r="AI773" i="8" s="1"/>
  <c r="AI389" i="8"/>
  <c r="AI823" i="8"/>
  <c r="AI542" i="8"/>
  <c r="AH730" i="8"/>
  <c r="AH320" i="8"/>
  <c r="AI315" i="8" s="1"/>
  <c r="AI318" i="8" s="1"/>
  <c r="AI701" i="8" s="1"/>
  <c r="AI317" i="8"/>
  <c r="AH225" i="8"/>
  <c r="AI220" i="8" s="1"/>
  <c r="AI223" i="8" s="1"/>
  <c r="AI607" i="8" s="1"/>
  <c r="AI337" i="8"/>
  <c r="AE279" i="8"/>
  <c r="AF274" i="8" s="1"/>
  <c r="AF277" i="8" s="1"/>
  <c r="AF661" i="8" s="1"/>
  <c r="AF276" i="8"/>
  <c r="AE859" i="8"/>
  <c r="AD860" i="8"/>
  <c r="AI344" i="8"/>
  <c r="AH347" i="8"/>
  <c r="AI342" i="8" s="1"/>
  <c r="AI345" i="8" s="1"/>
  <c r="AI728" i="8" s="1"/>
  <c r="AF287" i="8"/>
  <c r="AF288" i="8" s="1"/>
  <c r="AG283" i="8" s="1"/>
  <c r="AG286" i="8" s="1"/>
  <c r="AG670" i="8" s="1"/>
  <c r="AH242" i="8"/>
  <c r="AG477" i="8"/>
  <c r="AL294" i="8"/>
  <c r="AL296" i="8" s="1"/>
  <c r="AM294" i="8" s="1"/>
  <c r="AG353" i="8"/>
  <c r="AF356" i="8"/>
  <c r="AG351" i="8" s="1"/>
  <c r="AG354" i="8" s="1"/>
  <c r="AG737" i="8" s="1"/>
  <c r="AG193" i="8"/>
  <c r="AH188" i="8" s="1"/>
  <c r="AH191" i="8" s="1"/>
  <c r="AH576" i="8" s="1"/>
  <c r="AH190" i="8"/>
  <c r="AH234" i="8"/>
  <c r="AI229" i="8" s="1"/>
  <c r="AI232" i="8" s="1"/>
  <c r="AI616" i="8" s="1"/>
  <c r="AI231" i="8"/>
  <c r="AI362" i="8"/>
  <c r="AI364" i="8" s="1"/>
  <c r="AI251" i="8"/>
  <c r="AI252" i="8" s="1"/>
  <c r="AJ247" i="8" s="1"/>
  <c r="AJ250" i="8" s="1"/>
  <c r="AJ634" i="8" s="1"/>
  <c r="AL423" i="8"/>
  <c r="AE739" i="8"/>
  <c r="AD740" i="8"/>
  <c r="AI147" i="8"/>
  <c r="AI148" i="8" s="1"/>
  <c r="AJ143" i="8" s="1"/>
  <c r="AJ146" i="8" s="1"/>
  <c r="AJ531" i="8" s="1"/>
  <c r="AH157" i="8"/>
  <c r="AI152" i="8" s="1"/>
  <c r="AI155" i="8" s="1"/>
  <c r="AI540" i="8" s="1"/>
  <c r="AI543" i="8" s="1"/>
  <c r="AJ538" i="8" s="1"/>
  <c r="AI154" i="8"/>
  <c r="AI269" i="8"/>
  <c r="AG569" i="8"/>
  <c r="AF570" i="8"/>
  <c r="AG565" i="8" s="1"/>
  <c r="AF183" i="8"/>
  <c r="AG382" i="8"/>
  <c r="AG459" i="8"/>
  <c r="AK138" i="8"/>
  <c r="AL136" i="8" s="1"/>
  <c r="AG805" i="8"/>
  <c r="AG806" i="8" s="1"/>
  <c r="AH801" i="8" s="1"/>
  <c r="AD673" i="8"/>
  <c r="AE672" i="8"/>
  <c r="AD767" i="8"/>
  <c r="AE766" i="8"/>
  <c r="AI373" i="8"/>
  <c r="AI374" i="8" s="1"/>
  <c r="AJ369" i="8" s="1"/>
  <c r="AJ372" i="8" s="1"/>
  <c r="AJ755" i="8" s="1"/>
  <c r="AJ441" i="8"/>
  <c r="AK439" i="8" s="1"/>
  <c r="AH524" i="8"/>
  <c r="AH525" i="8" s="1"/>
  <c r="AI520" i="8" s="1"/>
  <c r="AH636" i="8"/>
  <c r="AH579" i="8"/>
  <c r="AI574" i="8" s="1"/>
  <c r="AI578" i="8"/>
  <c r="AB882" i="8"/>
  <c r="AC596" i="8"/>
  <c r="AC599" i="8"/>
  <c r="AC883" i="8" s="1"/>
  <c r="AF645" i="8"/>
  <c r="AE646" i="8"/>
  <c r="AE842" i="8"/>
  <c r="AE650" i="8"/>
  <c r="AE653" i="8"/>
  <c r="AE654" i="8" s="1"/>
  <c r="AG619" i="8"/>
  <c r="AH614" i="8" s="1"/>
  <c r="AH618" i="8"/>
  <c r="AJ713" i="8"/>
  <c r="AK708" i="8" s="1"/>
  <c r="AI722" i="8"/>
  <c r="AJ717" i="8" s="1"/>
  <c r="AJ721" i="8"/>
  <c r="AE795" i="8"/>
  <c r="AE796" i="8" s="1"/>
  <c r="AE792" i="8"/>
  <c r="AE559" i="8"/>
  <c r="AE560" i="8" s="1"/>
  <c r="AE556" i="8"/>
  <c r="AE851" i="8"/>
  <c r="AI163" i="8"/>
  <c r="AH166" i="8"/>
  <c r="AI161" i="8" s="1"/>
  <c r="AI164" i="8" s="1"/>
  <c r="AI549" i="8" s="1"/>
  <c r="AJ627" i="8"/>
  <c r="AL199" i="8"/>
  <c r="AK202" i="8"/>
  <c r="AL197" i="8" s="1"/>
  <c r="AL200" i="8" s="1"/>
  <c r="AL585" i="8" s="1"/>
  <c r="AJ145" i="8"/>
  <c r="AE758" i="8"/>
  <c r="AB877" i="8"/>
  <c r="AC502" i="8"/>
  <c r="AC505" i="8"/>
  <c r="AJ174" i="8"/>
  <c r="AL328" i="8"/>
  <c r="AG869" i="8"/>
  <c r="AH864" i="8" s="1"/>
  <c r="AH868" i="8"/>
  <c r="AI468" i="8"/>
  <c r="AE659" i="8"/>
  <c r="AE662" i="8"/>
  <c r="AE663" i="8" s="1"/>
  <c r="AI260" i="8"/>
  <c r="AF682" i="8"/>
  <c r="AG681" i="8" s="1"/>
  <c r="AE516" i="8"/>
  <c r="AH637" i="8"/>
  <c r="AI632" i="8" s="1"/>
  <c r="AH731" i="8"/>
  <c r="AI726" i="8" s="1"/>
  <c r="AG448" i="8"/>
  <c r="AF451" i="8"/>
  <c r="AG446" i="8" s="1"/>
  <c r="AG449" i="8" s="1"/>
  <c r="AG830" i="8" s="1"/>
  <c r="AG891" i="8" s="1"/>
  <c r="AE704" i="8"/>
  <c r="AI824" i="8"/>
  <c r="AJ819" i="8" s="1"/>
  <c r="AF587" i="8"/>
  <c r="AF588" i="8" s="1"/>
  <c r="AE833" i="8"/>
  <c r="AF832" i="8"/>
  <c r="AE744" i="8"/>
  <c r="AE747" i="8"/>
  <c r="AE748" i="8" s="1"/>
  <c r="AJ542" i="8"/>
  <c r="AM484" i="8"/>
  <c r="AL487" i="8"/>
  <c r="AM482" i="8" s="1"/>
  <c r="AM485" i="8" s="1"/>
  <c r="AM866" i="8" s="1"/>
  <c r="AI412" i="8"/>
  <c r="AH415" i="8"/>
  <c r="AI410" i="8" s="1"/>
  <c r="AI413" i="8" s="1"/>
  <c r="AI794" i="8" s="1"/>
  <c r="AC887" i="8"/>
  <c r="AD693" i="8"/>
  <c r="AD888" i="8" s="1"/>
  <c r="AD690" i="8"/>
  <c r="AC893" i="8"/>
  <c r="AC787" i="8"/>
  <c r="AC788" i="8" s="1"/>
  <c r="AE771" i="8"/>
  <c r="AD886" i="8"/>
  <c r="AI430" i="8"/>
  <c r="AH433" i="8"/>
  <c r="AI428" i="8" s="1"/>
  <c r="AI431" i="8" s="1"/>
  <c r="AI812" i="8" s="1"/>
  <c r="AI815" i="8" s="1"/>
  <c r="AJ810" i="8" s="1"/>
  <c r="AI534" i="8"/>
  <c r="AJ529" i="8" s="1"/>
  <c r="AE610" i="8"/>
  <c r="AE552" i="8"/>
  <c r="AG130" i="8" l="1"/>
  <c r="AH125" i="8" s="1"/>
  <c r="AH128" i="8" s="1"/>
  <c r="AH513" i="8" s="1"/>
  <c r="AH127" i="8"/>
  <c r="AI391" i="8"/>
  <c r="AJ533" i="8"/>
  <c r="AJ823" i="8"/>
  <c r="AI730" i="8"/>
  <c r="AK712" i="8"/>
  <c r="AG285" i="8"/>
  <c r="AG287" i="8" s="1"/>
  <c r="AI319" i="8"/>
  <c r="AJ371" i="8"/>
  <c r="AJ373" i="8" s="1"/>
  <c r="AJ374" i="8" s="1"/>
  <c r="AK369" i="8" s="1"/>
  <c r="AK372" i="8" s="1"/>
  <c r="AK755" i="8" s="1"/>
  <c r="AI224" i="8"/>
  <c r="AI225" i="8" s="1"/>
  <c r="AJ220" i="8" s="1"/>
  <c r="AJ223" i="8" s="1"/>
  <c r="AJ607" i="8" s="1"/>
  <c r="AJ442" i="8"/>
  <c r="AK437" i="8" s="1"/>
  <c r="AK440" i="8" s="1"/>
  <c r="AK821" i="8" s="1"/>
  <c r="AJ222" i="8"/>
  <c r="AF278" i="8"/>
  <c r="AJ335" i="8"/>
  <c r="AI338" i="8"/>
  <c r="AJ333" i="8" s="1"/>
  <c r="AJ336" i="8" s="1"/>
  <c r="AJ719" i="8" s="1"/>
  <c r="AE858" i="8"/>
  <c r="AE855" i="8"/>
  <c r="AH192" i="8"/>
  <c r="AI190" i="8" s="1"/>
  <c r="AI346" i="8"/>
  <c r="AH243" i="8"/>
  <c r="AI238" i="8" s="1"/>
  <c r="AI241" i="8" s="1"/>
  <c r="AI625" i="8" s="1"/>
  <c r="AI628" i="8" s="1"/>
  <c r="AJ623" i="8" s="1"/>
  <c r="AI240" i="8"/>
  <c r="AG355" i="8"/>
  <c r="AH353" i="8" s="1"/>
  <c r="AH475" i="8"/>
  <c r="AG478" i="8"/>
  <c r="AH473" i="8" s="1"/>
  <c r="AH476" i="8" s="1"/>
  <c r="AH857" i="8" s="1"/>
  <c r="AJ249" i="8"/>
  <c r="AJ251" i="8" s="1"/>
  <c r="AG356" i="8"/>
  <c r="AH351" i="8" s="1"/>
  <c r="AH354" i="8" s="1"/>
  <c r="AH737" i="8" s="1"/>
  <c r="AJ362" i="8"/>
  <c r="AI365" i="8"/>
  <c r="AJ360" i="8" s="1"/>
  <c r="AJ363" i="8" s="1"/>
  <c r="AJ746" i="8" s="1"/>
  <c r="AM421" i="8"/>
  <c r="AL424" i="8"/>
  <c r="AM419" i="8" s="1"/>
  <c r="AM422" i="8" s="1"/>
  <c r="AM803" i="8" s="1"/>
  <c r="AI233" i="8"/>
  <c r="AL297" i="8"/>
  <c r="AM292" i="8" s="1"/>
  <c r="AM295" i="8" s="1"/>
  <c r="AM679" i="8" s="1"/>
  <c r="AE735" i="8"/>
  <c r="AE738" i="8"/>
  <c r="AI156" i="8"/>
  <c r="AI270" i="8"/>
  <c r="AJ265" i="8" s="1"/>
  <c r="AJ268" i="8" s="1"/>
  <c r="AJ652" i="8" s="1"/>
  <c r="AJ267" i="8"/>
  <c r="AK139" i="8"/>
  <c r="AL134" i="8" s="1"/>
  <c r="AL137" i="8" s="1"/>
  <c r="AL522" i="8" s="1"/>
  <c r="AH569" i="8"/>
  <c r="AG181" i="8"/>
  <c r="AF184" i="8"/>
  <c r="AG179" i="8" s="1"/>
  <c r="AG182" i="8" s="1"/>
  <c r="AG567" i="8" s="1"/>
  <c r="AG876" i="8" s="1"/>
  <c r="AG383" i="8"/>
  <c r="AH378" i="8" s="1"/>
  <c r="AH381" i="8" s="1"/>
  <c r="AH764" i="8" s="1"/>
  <c r="AH380" i="8"/>
  <c r="AG460" i="8"/>
  <c r="AH455" i="8" s="1"/>
  <c r="AH458" i="8" s="1"/>
  <c r="AH839" i="8" s="1"/>
  <c r="AH457" i="8"/>
  <c r="AG450" i="8"/>
  <c r="AG451" i="8" s="1"/>
  <c r="AH446" i="8" s="1"/>
  <c r="AH449" i="8" s="1"/>
  <c r="AH830" i="8" s="1"/>
  <c r="AI524" i="8"/>
  <c r="AI525" i="8" s="1"/>
  <c r="AJ520" i="8" s="1"/>
  <c r="AE762" i="8"/>
  <c r="AE765" i="8"/>
  <c r="AE668" i="8"/>
  <c r="AE671" i="8"/>
  <c r="AJ578" i="8"/>
  <c r="AG583" i="8"/>
  <c r="AF876" i="8"/>
  <c r="AG587" i="8"/>
  <c r="AC892" i="8"/>
  <c r="AD783" i="8"/>
  <c r="AD786" i="8"/>
  <c r="AD893" i="8" s="1"/>
  <c r="AJ824" i="8"/>
  <c r="AK819" i="8" s="1"/>
  <c r="AH805" i="8"/>
  <c r="AH806" i="8" s="1"/>
  <c r="AI801" i="8" s="1"/>
  <c r="AI636" i="8"/>
  <c r="AI637" i="8" s="1"/>
  <c r="AJ632" i="8" s="1"/>
  <c r="AJ258" i="8"/>
  <c r="AI261" i="8"/>
  <c r="AJ256" i="8" s="1"/>
  <c r="AJ259" i="8" s="1"/>
  <c r="AJ643" i="8" s="1"/>
  <c r="AE664" i="8"/>
  <c r="AJ466" i="8"/>
  <c r="AI469" i="8"/>
  <c r="AJ464" i="8" s="1"/>
  <c r="AJ467" i="8" s="1"/>
  <c r="AJ848" i="8" s="1"/>
  <c r="AH869" i="8"/>
  <c r="AI864" i="8" s="1"/>
  <c r="AI868" i="8"/>
  <c r="AM326" i="8"/>
  <c r="AL329" i="8"/>
  <c r="AM324" i="8" s="1"/>
  <c r="AM327" i="8" s="1"/>
  <c r="AM710" i="8" s="1"/>
  <c r="AC878" i="8"/>
  <c r="AC506" i="8"/>
  <c r="AC507" i="8" s="1"/>
  <c r="AF756" i="8"/>
  <c r="AF757" i="8" s="1"/>
  <c r="AF753" i="8"/>
  <c r="AJ147" i="8"/>
  <c r="AL201" i="8"/>
  <c r="AK627" i="8"/>
  <c r="AI165" i="8"/>
  <c r="AF849" i="8"/>
  <c r="AF850" i="8" s="1"/>
  <c r="AF846" i="8"/>
  <c r="AF644" i="8"/>
  <c r="AF641" i="8"/>
  <c r="AD694" i="8"/>
  <c r="AD695" i="8" s="1"/>
  <c r="AC600" i="8"/>
  <c r="AC601" i="8" s="1"/>
  <c r="AK814" i="8"/>
  <c r="AF547" i="8"/>
  <c r="AF550" i="8"/>
  <c r="AF551" i="8" s="1"/>
  <c r="AF605" i="8"/>
  <c r="AF608" i="8"/>
  <c r="AF609" i="8" s="1"/>
  <c r="AJ534" i="8"/>
  <c r="AK529" i="8" s="1"/>
  <c r="AI432" i="8"/>
  <c r="AE776" i="8"/>
  <c r="AF775" i="8"/>
  <c r="AI414" i="8"/>
  <c r="AM486" i="8"/>
  <c r="AM487" i="8" s="1"/>
  <c r="AE749" i="8"/>
  <c r="AK441" i="8"/>
  <c r="AF831" i="8"/>
  <c r="AF828" i="8"/>
  <c r="AF699" i="8"/>
  <c r="AF702" i="8"/>
  <c r="AF703" i="8" s="1"/>
  <c r="AI731" i="8"/>
  <c r="AJ726" i="8" s="1"/>
  <c r="AF514" i="8"/>
  <c r="AF515" i="8" s="1"/>
  <c r="AF511" i="8"/>
  <c r="AG677" i="8"/>
  <c r="AF881" i="8"/>
  <c r="AK172" i="8"/>
  <c r="AJ175" i="8"/>
  <c r="AK170" i="8" s="1"/>
  <c r="AK173" i="8" s="1"/>
  <c r="AK558" i="8" s="1"/>
  <c r="AE561" i="8"/>
  <c r="AE797" i="8"/>
  <c r="AJ722" i="8"/>
  <c r="AK717" i="8" s="1"/>
  <c r="AK721" i="8"/>
  <c r="AK713" i="8"/>
  <c r="AL708" i="8" s="1"/>
  <c r="AH619" i="8"/>
  <c r="AI614" i="8" s="1"/>
  <c r="AI618" i="8"/>
  <c r="AE655" i="8"/>
  <c r="AF840" i="8"/>
  <c r="AF841" i="8" s="1"/>
  <c r="AF837" i="8"/>
  <c r="AH129" i="8" l="1"/>
  <c r="AJ730" i="8"/>
  <c r="AL712" i="8"/>
  <c r="AK533" i="8"/>
  <c r="AK823" i="8"/>
  <c r="AJ389" i="8"/>
  <c r="AI392" i="8"/>
  <c r="AJ387" i="8" s="1"/>
  <c r="AJ390" i="8" s="1"/>
  <c r="AJ773" i="8" s="1"/>
  <c r="AI320" i="8"/>
  <c r="AJ315" i="8" s="1"/>
  <c r="AJ318" i="8" s="1"/>
  <c r="AJ701" i="8" s="1"/>
  <c r="AJ317" i="8"/>
  <c r="AH193" i="8"/>
  <c r="AI188" i="8" s="1"/>
  <c r="AI191" i="8" s="1"/>
  <c r="AI576" i="8" s="1"/>
  <c r="AI579" i="8" s="1"/>
  <c r="AJ574" i="8" s="1"/>
  <c r="AJ224" i="8"/>
  <c r="AJ225" i="8" s="1"/>
  <c r="AK220" i="8" s="1"/>
  <c r="AK223" i="8" s="1"/>
  <c r="AK607" i="8" s="1"/>
  <c r="AL138" i="8"/>
  <c r="AJ337" i="8"/>
  <c r="AG276" i="8"/>
  <c r="AF279" i="8"/>
  <c r="AG274" i="8" s="1"/>
  <c r="AG277" i="8" s="1"/>
  <c r="AG661" i="8" s="1"/>
  <c r="AF859" i="8"/>
  <c r="AE860" i="8"/>
  <c r="AJ344" i="8"/>
  <c r="AI347" i="8"/>
  <c r="AJ342" i="8" s="1"/>
  <c r="AJ345" i="8" s="1"/>
  <c r="AJ728" i="8" s="1"/>
  <c r="AK730" i="8" s="1"/>
  <c r="AH477" i="8"/>
  <c r="AI242" i="8"/>
  <c r="AI192" i="8"/>
  <c r="AJ364" i="8"/>
  <c r="AJ365" i="8" s="1"/>
  <c r="AK360" i="8" s="1"/>
  <c r="AK363" i="8" s="1"/>
  <c r="AK746" i="8" s="1"/>
  <c r="AH355" i="8"/>
  <c r="AH285" i="8"/>
  <c r="AG288" i="8"/>
  <c r="AH283" i="8" s="1"/>
  <c r="AH286" i="8" s="1"/>
  <c r="AH670" i="8" s="1"/>
  <c r="AI234" i="8"/>
  <c r="AJ229" i="8" s="1"/>
  <c r="AJ232" i="8" s="1"/>
  <c r="AJ616" i="8" s="1"/>
  <c r="AJ231" i="8"/>
  <c r="AM423" i="8"/>
  <c r="AM424" i="8" s="1"/>
  <c r="AH448" i="8"/>
  <c r="AK371" i="8"/>
  <c r="AE740" i="8"/>
  <c r="AF739" i="8"/>
  <c r="AK249" i="8"/>
  <c r="AJ252" i="8"/>
  <c r="AK247" i="8" s="1"/>
  <c r="AK250" i="8" s="1"/>
  <c r="AK634" i="8" s="1"/>
  <c r="AM296" i="8"/>
  <c r="AM297" i="8" s="1"/>
  <c r="AJ154" i="8"/>
  <c r="AI157" i="8"/>
  <c r="AJ152" i="8" s="1"/>
  <c r="AJ155" i="8" s="1"/>
  <c r="AJ540" i="8" s="1"/>
  <c r="AJ269" i="8"/>
  <c r="AH891" i="8"/>
  <c r="X891" i="8" s="1"/>
  <c r="Y9" i="14" s="1"/>
  <c r="Y47" i="14" s="1"/>
  <c r="Y76" i="14" s="1"/>
  <c r="Y85" i="14" s="1"/>
  <c r="AG183" i="8"/>
  <c r="AG570" i="8"/>
  <c r="AH565" i="8" s="1"/>
  <c r="AH382" i="8"/>
  <c r="AH459" i="8"/>
  <c r="AI805" i="8"/>
  <c r="AI806" i="8" s="1"/>
  <c r="AJ801" i="8" s="1"/>
  <c r="AE673" i="8"/>
  <c r="AF672" i="8"/>
  <c r="AE767" i="8"/>
  <c r="AF766" i="8"/>
  <c r="AJ524" i="8"/>
  <c r="AJ525" i="8" s="1"/>
  <c r="AK520" i="8" s="1"/>
  <c r="AK578" i="8"/>
  <c r="AD887" i="8"/>
  <c r="AE690" i="8"/>
  <c r="AE693" i="8"/>
  <c r="AE888" i="8" s="1"/>
  <c r="AC877" i="8"/>
  <c r="AD505" i="8"/>
  <c r="AD878" i="8" s="1"/>
  <c r="AD502" i="8"/>
  <c r="AF516" i="8"/>
  <c r="AJ731" i="8"/>
  <c r="AK726" i="8" s="1"/>
  <c r="AL439" i="8"/>
  <c r="AK442" i="8"/>
  <c r="AL437" i="8" s="1"/>
  <c r="AL440" i="8" s="1"/>
  <c r="AL821" i="8" s="1"/>
  <c r="AJ430" i="8"/>
  <c r="AI433" i="8"/>
  <c r="AJ428" i="8" s="1"/>
  <c r="AJ431" i="8" s="1"/>
  <c r="AJ812" i="8" s="1"/>
  <c r="AJ815" i="8" s="1"/>
  <c r="AK810" i="8" s="1"/>
  <c r="AF610" i="8"/>
  <c r="AF552" i="8"/>
  <c r="AC882" i="8"/>
  <c r="AD599" i="8"/>
  <c r="AD883" i="8" s="1"/>
  <c r="AD596" i="8"/>
  <c r="AF758" i="8"/>
  <c r="AF842" i="8"/>
  <c r="AF833" i="8"/>
  <c r="AG832" i="8"/>
  <c r="AM199" i="8"/>
  <c r="AL202" i="8"/>
  <c r="AM197" i="8" s="1"/>
  <c r="AM200" i="8" s="1"/>
  <c r="AM585" i="8" s="1"/>
  <c r="AK373" i="8"/>
  <c r="AF653" i="8"/>
  <c r="AF654" i="8" s="1"/>
  <c r="AF650" i="8"/>
  <c r="AI619" i="8"/>
  <c r="AJ614" i="8" s="1"/>
  <c r="AJ618" i="8"/>
  <c r="AL713" i="8"/>
  <c r="AM708" i="8" s="1"/>
  <c r="AL721" i="8"/>
  <c r="AF792" i="8"/>
  <c r="AF795" i="8"/>
  <c r="AF796" i="8" s="1"/>
  <c r="AF556" i="8"/>
  <c r="AF559" i="8"/>
  <c r="AF560" i="8" s="1"/>
  <c r="AK174" i="8"/>
  <c r="AG682" i="8"/>
  <c r="AH681" i="8" s="1"/>
  <c r="AJ636" i="8"/>
  <c r="AJ637" i="8" s="1"/>
  <c r="AH450" i="8"/>
  <c r="AF704" i="8"/>
  <c r="AM136" i="8"/>
  <c r="AL139" i="8"/>
  <c r="AM134" i="8" s="1"/>
  <c r="AM137" i="8" s="1"/>
  <c r="AM522" i="8" s="1"/>
  <c r="AF747" i="8"/>
  <c r="AF748" i="8" s="1"/>
  <c r="AF744" i="8"/>
  <c r="AJ412" i="8"/>
  <c r="AI415" i="8"/>
  <c r="AJ410" i="8" s="1"/>
  <c r="AJ413" i="8" s="1"/>
  <c r="AJ794" i="8" s="1"/>
  <c r="AF771" i="8"/>
  <c r="AE886" i="8"/>
  <c r="AF646" i="8"/>
  <c r="AG645" i="8"/>
  <c r="AF851" i="8"/>
  <c r="AJ163" i="8"/>
  <c r="AI166" i="8"/>
  <c r="AJ161" i="8" s="1"/>
  <c r="AJ164" i="8" s="1"/>
  <c r="AJ549" i="8" s="1"/>
  <c r="AK145" i="8"/>
  <c r="AJ148" i="8"/>
  <c r="AK143" i="8" s="1"/>
  <c r="AK146" i="8" s="1"/>
  <c r="AK531" i="8" s="1"/>
  <c r="AK534" i="8" s="1"/>
  <c r="AL529" i="8" s="1"/>
  <c r="AM328" i="8"/>
  <c r="AM329" i="8" s="1"/>
  <c r="AI869" i="8"/>
  <c r="AJ864" i="8" s="1"/>
  <c r="AJ868" i="8"/>
  <c r="AJ468" i="8"/>
  <c r="AF662" i="8"/>
  <c r="AF663" i="8" s="1"/>
  <c r="AF659" i="8"/>
  <c r="AJ260" i="8"/>
  <c r="AK824" i="8"/>
  <c r="AL819" i="8" s="1"/>
  <c r="AD787" i="8"/>
  <c r="AD788" i="8" s="1"/>
  <c r="AG588" i="8"/>
  <c r="AH583" i="8" s="1"/>
  <c r="AI127" i="8" l="1"/>
  <c r="AH130" i="8"/>
  <c r="AI125" i="8" s="1"/>
  <c r="AI128" i="8" s="1"/>
  <c r="AI513" i="8" s="1"/>
  <c r="AK362" i="8"/>
  <c r="AL533" i="8"/>
  <c r="AL823" i="8"/>
  <c r="AM712" i="8"/>
  <c r="AJ391" i="8"/>
  <c r="AJ543" i="8"/>
  <c r="AK538" i="8" s="1"/>
  <c r="AK542" i="8"/>
  <c r="AJ319" i="8"/>
  <c r="AK222" i="8"/>
  <c r="AK224" i="8" s="1"/>
  <c r="AJ346" i="8"/>
  <c r="AJ347" i="8" s="1"/>
  <c r="AK342" i="8" s="1"/>
  <c r="AK345" i="8" s="1"/>
  <c r="AK728" i="8" s="1"/>
  <c r="AK731" i="8" s="1"/>
  <c r="AL726" i="8" s="1"/>
  <c r="AG278" i="8"/>
  <c r="AJ338" i="8"/>
  <c r="AK333" i="8" s="1"/>
  <c r="AK336" i="8" s="1"/>
  <c r="AK719" i="8" s="1"/>
  <c r="AK722" i="8" s="1"/>
  <c r="AL717" i="8" s="1"/>
  <c r="AK335" i="8"/>
  <c r="AF855" i="8"/>
  <c r="AF858" i="8"/>
  <c r="AK344" i="8"/>
  <c r="AI243" i="8"/>
  <c r="AJ238" i="8" s="1"/>
  <c r="AJ241" i="8" s="1"/>
  <c r="AJ625" i="8" s="1"/>
  <c r="AJ628" i="8" s="1"/>
  <c r="AK623" i="8" s="1"/>
  <c r="AJ240" i="8"/>
  <c r="AI475" i="8"/>
  <c r="AH478" i="8"/>
  <c r="AI473" i="8" s="1"/>
  <c r="AI476" i="8" s="1"/>
  <c r="AI857" i="8" s="1"/>
  <c r="AI353" i="8"/>
  <c r="AH356" i="8"/>
  <c r="AI351" i="8" s="1"/>
  <c r="AI354" i="8" s="1"/>
  <c r="AI737" i="8" s="1"/>
  <c r="AJ190" i="8"/>
  <c r="AI193" i="8"/>
  <c r="AJ188" i="8" s="1"/>
  <c r="AJ191" i="8" s="1"/>
  <c r="AJ576" i="8" s="1"/>
  <c r="AJ579" i="8" s="1"/>
  <c r="AK574" i="8" s="1"/>
  <c r="AH287" i="8"/>
  <c r="AJ156" i="8"/>
  <c r="AJ157" i="8" s="1"/>
  <c r="AK152" i="8" s="1"/>
  <c r="AK155" i="8" s="1"/>
  <c r="AK540" i="8" s="1"/>
  <c r="AK543" i="8" s="1"/>
  <c r="AL538" i="8" s="1"/>
  <c r="AK251" i="8"/>
  <c r="AL249" i="8" s="1"/>
  <c r="AJ233" i="8"/>
  <c r="AD506" i="8"/>
  <c r="AD507" i="8" s="1"/>
  <c r="AF738" i="8"/>
  <c r="AF735" i="8"/>
  <c r="AD600" i="8"/>
  <c r="AD601" i="8" s="1"/>
  <c r="AJ270" i="8"/>
  <c r="AK265" i="8" s="1"/>
  <c r="AK268" i="8" s="1"/>
  <c r="AK652" i="8" s="1"/>
  <c r="AK267" i="8"/>
  <c r="AG184" i="8"/>
  <c r="AH179" i="8" s="1"/>
  <c r="AH182" i="8" s="1"/>
  <c r="AH567" i="8" s="1"/>
  <c r="AH876" i="8" s="1"/>
  <c r="X876" i="8" s="1"/>
  <c r="Y9" i="11" s="1"/>
  <c r="Y47" i="11" s="1"/>
  <c r="Y76" i="11" s="1"/>
  <c r="AH181" i="8"/>
  <c r="AI569" i="8"/>
  <c r="AH383" i="8"/>
  <c r="AI378" i="8" s="1"/>
  <c r="AI381" i="8" s="1"/>
  <c r="AI764" i="8" s="1"/>
  <c r="AI380" i="8"/>
  <c r="AI457" i="8"/>
  <c r="AH460" i="8"/>
  <c r="AI455" i="8" s="1"/>
  <c r="AI458" i="8" s="1"/>
  <c r="AI839" i="8" s="1"/>
  <c r="AJ414" i="8"/>
  <c r="AJ415" i="8" s="1"/>
  <c r="AK410" i="8" s="1"/>
  <c r="AK413" i="8" s="1"/>
  <c r="AK794" i="8" s="1"/>
  <c r="AM138" i="8"/>
  <c r="AM139" i="8" s="1"/>
  <c r="AK364" i="8"/>
  <c r="AL362" i="8" s="1"/>
  <c r="AJ805" i="8"/>
  <c r="AJ806" i="8" s="1"/>
  <c r="AK801" i="8" s="1"/>
  <c r="AJ432" i="8"/>
  <c r="AK430" i="8" s="1"/>
  <c r="AL441" i="8"/>
  <c r="AL442" i="8" s="1"/>
  <c r="AM437" i="8" s="1"/>
  <c r="AM440" i="8" s="1"/>
  <c r="AM821" i="8" s="1"/>
  <c r="AK524" i="8"/>
  <c r="AK147" i="8"/>
  <c r="AK148" i="8" s="1"/>
  <c r="AL143" i="8" s="1"/>
  <c r="AL146" i="8" s="1"/>
  <c r="AL531" i="8" s="1"/>
  <c r="AL534" i="8" s="1"/>
  <c r="AM529" i="8" s="1"/>
  <c r="AJ165" i="8"/>
  <c r="AK163" i="8" s="1"/>
  <c r="AL578" i="8"/>
  <c r="AF765" i="8"/>
  <c r="AF762" i="8"/>
  <c r="AF671" i="8"/>
  <c r="AF668" i="8"/>
  <c r="AK632" i="8"/>
  <c r="AK636" i="8"/>
  <c r="AD892" i="8"/>
  <c r="AE786" i="8"/>
  <c r="AE893" i="8" s="1"/>
  <c r="AE783" i="8"/>
  <c r="AK258" i="8"/>
  <c r="AJ261" i="8"/>
  <c r="AK256" i="8" s="1"/>
  <c r="AK259" i="8" s="1"/>
  <c r="AK643" i="8" s="1"/>
  <c r="AG846" i="8"/>
  <c r="AG849" i="8"/>
  <c r="AG850" i="8" s="1"/>
  <c r="AG641" i="8"/>
  <c r="AG644" i="8"/>
  <c r="AF749" i="8"/>
  <c r="AG702" i="8"/>
  <c r="AG703" i="8" s="1"/>
  <c r="AG699" i="8"/>
  <c r="AL172" i="8"/>
  <c r="AK175" i="8"/>
  <c r="AL170" i="8" s="1"/>
  <c r="AL173" i="8" s="1"/>
  <c r="AL558" i="8" s="1"/>
  <c r="AF561" i="8"/>
  <c r="AF797" i="8"/>
  <c r="AM721" i="8"/>
  <c r="AM713" i="8"/>
  <c r="AJ619" i="8"/>
  <c r="AK614" i="8" s="1"/>
  <c r="AK618" i="8"/>
  <c r="AL371" i="8"/>
  <c r="AK374" i="8"/>
  <c r="AL369" i="8" s="1"/>
  <c r="AL372" i="8" s="1"/>
  <c r="AL755" i="8" s="1"/>
  <c r="AM201" i="8"/>
  <c r="AM202" i="8" s="1"/>
  <c r="AG831" i="8"/>
  <c r="AG828" i="8"/>
  <c r="AG837" i="8"/>
  <c r="AG840" i="8"/>
  <c r="AG841" i="8" s="1"/>
  <c r="AG753" i="8"/>
  <c r="AG756" i="8"/>
  <c r="AG757" i="8" s="1"/>
  <c r="AL814" i="8"/>
  <c r="AE694" i="8"/>
  <c r="AE695" i="8" s="1"/>
  <c r="AH587" i="8"/>
  <c r="AH588" i="8" s="1"/>
  <c r="AL824" i="8"/>
  <c r="AM819" i="8" s="1"/>
  <c r="AF664" i="8"/>
  <c r="AK466" i="8"/>
  <c r="AJ469" i="8"/>
  <c r="AK464" i="8" s="1"/>
  <c r="AK467" i="8" s="1"/>
  <c r="AK848" i="8" s="1"/>
  <c r="AK525" i="8"/>
  <c r="AL520" i="8" s="1"/>
  <c r="AJ869" i="8"/>
  <c r="AK864" i="8" s="1"/>
  <c r="AK868" i="8"/>
  <c r="AF776" i="8"/>
  <c r="AG775" i="8"/>
  <c r="AI448" i="8"/>
  <c r="AH451" i="8"/>
  <c r="AI446" i="8" s="1"/>
  <c r="AI449" i="8" s="1"/>
  <c r="AI830" i="8" s="1"/>
  <c r="AH677" i="8"/>
  <c r="AG881" i="8"/>
  <c r="AF655" i="8"/>
  <c r="AG550" i="8"/>
  <c r="AG551" i="8" s="1"/>
  <c r="AG547" i="8"/>
  <c r="AG608" i="8"/>
  <c r="AG609" i="8" s="1"/>
  <c r="AG605" i="8"/>
  <c r="AM439" i="8"/>
  <c r="AL730" i="8"/>
  <c r="AG511" i="8"/>
  <c r="AG514" i="8"/>
  <c r="AG515" i="8" s="1"/>
  <c r="AI129" i="8" l="1"/>
  <c r="AI130" i="8"/>
  <c r="AJ125" i="8" s="1"/>
  <c r="AJ128" i="8" s="1"/>
  <c r="AJ513" i="8" s="1"/>
  <c r="AJ127" i="8"/>
  <c r="AM823" i="8"/>
  <c r="AM533" i="8"/>
  <c r="AL542" i="8"/>
  <c r="AK389" i="8"/>
  <c r="AJ392" i="8"/>
  <c r="AK387" i="8" s="1"/>
  <c r="AK390" i="8" s="1"/>
  <c r="AK773" i="8" s="1"/>
  <c r="AJ320" i="8"/>
  <c r="AK315" i="8" s="1"/>
  <c r="AK318" i="8" s="1"/>
  <c r="AK701" i="8" s="1"/>
  <c r="AK317" i="8"/>
  <c r="AK225" i="8"/>
  <c r="AL220" i="8" s="1"/>
  <c r="AL223" i="8" s="1"/>
  <c r="AL607" i="8" s="1"/>
  <c r="AL222" i="8"/>
  <c r="AL224" i="8" s="1"/>
  <c r="AM222" i="8" s="1"/>
  <c r="Y85" i="11"/>
  <c r="AK252" i="8"/>
  <c r="AL247" i="8" s="1"/>
  <c r="AL250" i="8" s="1"/>
  <c r="AL634" i="8" s="1"/>
  <c r="AK337" i="8"/>
  <c r="AG279" i="8"/>
  <c r="AH274" i="8" s="1"/>
  <c r="AH277" i="8" s="1"/>
  <c r="AH661" i="8" s="1"/>
  <c r="AH276" i="8"/>
  <c r="AJ192" i="8"/>
  <c r="AK190" i="8" s="1"/>
  <c r="AF860" i="8"/>
  <c r="AG859" i="8"/>
  <c r="AI477" i="8"/>
  <c r="AI478" i="8" s="1"/>
  <c r="AJ473" i="8" s="1"/>
  <c r="AJ476" i="8" s="1"/>
  <c r="AJ857" i="8" s="1"/>
  <c r="AK346" i="8"/>
  <c r="AI355" i="8"/>
  <c r="AI356" i="8" s="1"/>
  <c r="AJ351" i="8" s="1"/>
  <c r="AJ354" i="8" s="1"/>
  <c r="AJ737" i="8" s="1"/>
  <c r="AL145" i="8"/>
  <c r="AJ242" i="8"/>
  <c r="AL627" i="8"/>
  <c r="AI285" i="8"/>
  <c r="AH288" i="8"/>
  <c r="AI283" i="8" s="1"/>
  <c r="AI286" i="8" s="1"/>
  <c r="AI670" i="8" s="1"/>
  <c r="AK365" i="8"/>
  <c r="AL360" i="8" s="1"/>
  <c r="AL363" i="8" s="1"/>
  <c r="AL746" i="8" s="1"/>
  <c r="AK154" i="8"/>
  <c r="AK156" i="8" s="1"/>
  <c r="AK231" i="8"/>
  <c r="AJ234" i="8"/>
  <c r="AK229" i="8" s="1"/>
  <c r="AK232" i="8" s="1"/>
  <c r="AK616" i="8" s="1"/>
  <c r="AK619" i="8" s="1"/>
  <c r="AL614" i="8" s="1"/>
  <c r="AJ433" i="8"/>
  <c r="AK428" i="8" s="1"/>
  <c r="AK431" i="8" s="1"/>
  <c r="AK812" i="8" s="1"/>
  <c r="AK815" i="8" s="1"/>
  <c r="AL810" i="8" s="1"/>
  <c r="AM814" i="8" s="1"/>
  <c r="AK412" i="8"/>
  <c r="AF740" i="8"/>
  <c r="AG739" i="8"/>
  <c r="AE787" i="8"/>
  <c r="AE788" i="8" s="1"/>
  <c r="AL251" i="8"/>
  <c r="AK269" i="8"/>
  <c r="AH570" i="8"/>
  <c r="AI565" i="8" s="1"/>
  <c r="AJ569" i="8" s="1"/>
  <c r="AH183" i="8"/>
  <c r="AH184" i="8" s="1"/>
  <c r="AI179" i="8" s="1"/>
  <c r="AI182" i="8" s="1"/>
  <c r="AI567" i="8" s="1"/>
  <c r="AJ166" i="8"/>
  <c r="AK161" i="8" s="1"/>
  <c r="AK164" i="8" s="1"/>
  <c r="AK549" i="8" s="1"/>
  <c r="AI382" i="8"/>
  <c r="AI459" i="8"/>
  <c r="AF673" i="8"/>
  <c r="AG672" i="8"/>
  <c r="AF767" i="8"/>
  <c r="AG766" i="8"/>
  <c r="AL524" i="8"/>
  <c r="AL525" i="8" s="1"/>
  <c r="AM520" i="8" s="1"/>
  <c r="AL373" i="8"/>
  <c r="AM371" i="8" s="1"/>
  <c r="AK805" i="8"/>
  <c r="AK260" i="8"/>
  <c r="AK261" i="8" s="1"/>
  <c r="AL256" i="8" s="1"/>
  <c r="AL259" i="8" s="1"/>
  <c r="AL643" i="8" s="1"/>
  <c r="AE887" i="8"/>
  <c r="AF693" i="8"/>
  <c r="AF888" i="8" s="1"/>
  <c r="AF690" i="8"/>
  <c r="AI583" i="8"/>
  <c r="AI587" i="8"/>
  <c r="AG552" i="8"/>
  <c r="AD877" i="8"/>
  <c r="AE502" i="8"/>
  <c r="AE505" i="8"/>
  <c r="AG516" i="8"/>
  <c r="AM441" i="8"/>
  <c r="AM442" i="8" s="1"/>
  <c r="AD882" i="8"/>
  <c r="AE596" i="8"/>
  <c r="AE599" i="8"/>
  <c r="AG650" i="8"/>
  <c r="AG653" i="8"/>
  <c r="AG654" i="8" s="1"/>
  <c r="AH682" i="8"/>
  <c r="AI681" i="8" s="1"/>
  <c r="AI450" i="8"/>
  <c r="AK414" i="8"/>
  <c r="AK869" i="8"/>
  <c r="AL864" i="8" s="1"/>
  <c r="AL868" i="8"/>
  <c r="AK468" i="8"/>
  <c r="AG659" i="8"/>
  <c r="AG662" i="8"/>
  <c r="AG663" i="8" s="1"/>
  <c r="AM824" i="8"/>
  <c r="AG842" i="8"/>
  <c r="AG833" i="8"/>
  <c r="AH832" i="8"/>
  <c r="AG795" i="8"/>
  <c r="AG796" i="8" s="1"/>
  <c r="AG792" i="8"/>
  <c r="AG559" i="8"/>
  <c r="AG560" i="8" s="1"/>
  <c r="AG556" i="8"/>
  <c r="AL174" i="8"/>
  <c r="AK806" i="8"/>
  <c r="AL801" i="8" s="1"/>
  <c r="AG744" i="8"/>
  <c r="AG747" i="8"/>
  <c r="AG748" i="8" s="1"/>
  <c r="AG646" i="8"/>
  <c r="AH645" i="8"/>
  <c r="AG851" i="8"/>
  <c r="AL147" i="8"/>
  <c r="AG610" i="8"/>
  <c r="AG771" i="8"/>
  <c r="AF886" i="8"/>
  <c r="AG758" i="8"/>
  <c r="AL374" i="8"/>
  <c r="AM369" i="8" s="1"/>
  <c r="AM372" i="8" s="1"/>
  <c r="AM755" i="8" s="1"/>
  <c r="AL618" i="8"/>
  <c r="AG704" i="8"/>
  <c r="AK637" i="8"/>
  <c r="AL632" i="8" s="1"/>
  <c r="AJ129" i="8" l="1"/>
  <c r="AJ193" i="8"/>
  <c r="AK188" i="8" s="1"/>
  <c r="AK191" i="8" s="1"/>
  <c r="AK576" i="8" s="1"/>
  <c r="AK579" i="8" s="1"/>
  <c r="AL574" i="8" s="1"/>
  <c r="AM578" i="8" s="1"/>
  <c r="AK391" i="8"/>
  <c r="AL389" i="8" s="1"/>
  <c r="AK392" i="8"/>
  <c r="AL387" i="8" s="1"/>
  <c r="AL390" i="8" s="1"/>
  <c r="AL773" i="8" s="1"/>
  <c r="AK319" i="8"/>
  <c r="AJ475" i="8"/>
  <c r="AL225" i="8"/>
  <c r="AM220" i="8" s="1"/>
  <c r="AM223" i="8" s="1"/>
  <c r="AM607" i="8" s="1"/>
  <c r="AJ353" i="8"/>
  <c r="AJ355" i="8" s="1"/>
  <c r="AH278" i="8"/>
  <c r="AK338" i="8"/>
  <c r="AL333" i="8" s="1"/>
  <c r="AL336" i="8" s="1"/>
  <c r="AL719" i="8" s="1"/>
  <c r="AL722" i="8" s="1"/>
  <c r="AM717" i="8" s="1"/>
  <c r="AL335" i="8"/>
  <c r="AG855" i="8"/>
  <c r="AG858" i="8"/>
  <c r="AK347" i="8"/>
  <c r="AL342" i="8" s="1"/>
  <c r="AL345" i="8" s="1"/>
  <c r="AL728" i="8" s="1"/>
  <c r="AL344" i="8"/>
  <c r="AI181" i="8"/>
  <c r="AI183" i="8" s="1"/>
  <c r="AI287" i="8"/>
  <c r="AI288" i="8" s="1"/>
  <c r="AJ283" i="8" s="1"/>
  <c r="AJ286" i="8" s="1"/>
  <c r="AJ670" i="8" s="1"/>
  <c r="AJ477" i="8"/>
  <c r="AK240" i="8"/>
  <c r="AJ243" i="8"/>
  <c r="AK238" i="8" s="1"/>
  <c r="AK241" i="8" s="1"/>
  <c r="AK625" i="8" s="1"/>
  <c r="AK628" i="8" s="1"/>
  <c r="AL623" i="8" s="1"/>
  <c r="AK192" i="8"/>
  <c r="AK233" i="8"/>
  <c r="AK432" i="8"/>
  <c r="AK433" i="8" s="1"/>
  <c r="AL428" i="8" s="1"/>
  <c r="AL431" i="8" s="1"/>
  <c r="AL812" i="8" s="1"/>
  <c r="AL815" i="8" s="1"/>
  <c r="AM810" i="8" s="1"/>
  <c r="AL258" i="8"/>
  <c r="AL364" i="8"/>
  <c r="AL365" i="8" s="1"/>
  <c r="AM360" i="8" s="1"/>
  <c r="AM363" i="8" s="1"/>
  <c r="AM746" i="8" s="1"/>
  <c r="AL252" i="8"/>
  <c r="AM247" i="8" s="1"/>
  <c r="AM250" i="8" s="1"/>
  <c r="AM634" i="8" s="1"/>
  <c r="AM249" i="8"/>
  <c r="AG738" i="8"/>
  <c r="AG735" i="8"/>
  <c r="AK165" i="8"/>
  <c r="AK166" i="8" s="1"/>
  <c r="AL161" i="8" s="1"/>
  <c r="AL164" i="8" s="1"/>
  <c r="AL549" i="8" s="1"/>
  <c r="AF694" i="8"/>
  <c r="AI570" i="8"/>
  <c r="AJ565" i="8" s="1"/>
  <c r="AK569" i="8" s="1"/>
  <c r="AK157" i="8"/>
  <c r="AL152" i="8" s="1"/>
  <c r="AL155" i="8" s="1"/>
  <c r="AL540" i="8" s="1"/>
  <c r="AL154" i="8"/>
  <c r="AK270" i="8"/>
  <c r="AL265" i="8" s="1"/>
  <c r="AL268" i="8" s="1"/>
  <c r="AL652" i="8" s="1"/>
  <c r="AL267" i="8"/>
  <c r="AI383" i="8"/>
  <c r="AJ378" i="8" s="1"/>
  <c r="AJ381" i="8" s="1"/>
  <c r="AJ764" i="8" s="1"/>
  <c r="AJ380" i="8"/>
  <c r="AI460" i="8"/>
  <c r="AJ455" i="8" s="1"/>
  <c r="AJ458" i="8" s="1"/>
  <c r="AJ839" i="8" s="1"/>
  <c r="AJ457" i="8"/>
  <c r="AG762" i="8"/>
  <c r="AG765" i="8"/>
  <c r="AG668" i="8"/>
  <c r="AG671" i="8"/>
  <c r="AM145" i="8"/>
  <c r="AL148" i="8"/>
  <c r="AM143" i="8" s="1"/>
  <c r="AM146" i="8" s="1"/>
  <c r="AM531" i="8" s="1"/>
  <c r="AM534" i="8" s="1"/>
  <c r="AH849" i="8"/>
  <c r="AH850" i="8" s="1"/>
  <c r="AH846" i="8"/>
  <c r="AH644" i="8"/>
  <c r="AH641" i="8"/>
  <c r="AG749" i="8"/>
  <c r="AL805" i="8"/>
  <c r="AL806" i="8" s="1"/>
  <c r="AG561" i="8"/>
  <c r="AG797" i="8"/>
  <c r="AH831" i="8"/>
  <c r="AH828" i="8"/>
  <c r="AH840" i="8"/>
  <c r="AH841" i="8" s="1"/>
  <c r="AH837" i="8"/>
  <c r="AG664" i="8"/>
  <c r="AM524" i="8"/>
  <c r="AM525" i="8" s="1"/>
  <c r="AL412" i="8"/>
  <c r="AK415" i="8"/>
  <c r="AL410" i="8" s="1"/>
  <c r="AL413" i="8" s="1"/>
  <c r="AL794" i="8" s="1"/>
  <c r="AI677" i="8"/>
  <c r="AH881" i="8"/>
  <c r="X881" i="8" s="1"/>
  <c r="Y10" i="12" s="1"/>
  <c r="Y48" i="12" s="1"/>
  <c r="Y76" i="12" s="1"/>
  <c r="AE883" i="8"/>
  <c r="AE600" i="8"/>
  <c r="AE601" i="8" s="1"/>
  <c r="AH514" i="8"/>
  <c r="AH515" i="8" s="1"/>
  <c r="AH511" i="8"/>
  <c r="AF695" i="8"/>
  <c r="AL636" i="8"/>
  <c r="AL637" i="8" s="1"/>
  <c r="AL260" i="8"/>
  <c r="AH699" i="8"/>
  <c r="AH702" i="8"/>
  <c r="AH703" i="8" s="1"/>
  <c r="AM618" i="8"/>
  <c r="AM373" i="8"/>
  <c r="AM374" i="8" s="1"/>
  <c r="AH756" i="8"/>
  <c r="AH757" i="8" s="1"/>
  <c r="AH753" i="8"/>
  <c r="AG776" i="8"/>
  <c r="AH775" i="8"/>
  <c r="AH605" i="8"/>
  <c r="AH608" i="8"/>
  <c r="AH609" i="8" s="1"/>
  <c r="AE892" i="8"/>
  <c r="AF783" i="8"/>
  <c r="AF786" i="8"/>
  <c r="AF893" i="8" s="1"/>
  <c r="AM172" i="8"/>
  <c r="AL175" i="8"/>
  <c r="AM170" i="8" s="1"/>
  <c r="AM173" i="8" s="1"/>
  <c r="AM558" i="8" s="1"/>
  <c r="AL466" i="8"/>
  <c r="AK469" i="8"/>
  <c r="AL464" i="8" s="1"/>
  <c r="AL467" i="8" s="1"/>
  <c r="AL848" i="8" s="1"/>
  <c r="AL869" i="8"/>
  <c r="AM864" i="8" s="1"/>
  <c r="AM868" i="8"/>
  <c r="AM362" i="8"/>
  <c r="AJ448" i="8"/>
  <c r="AI451" i="8"/>
  <c r="AJ446" i="8" s="1"/>
  <c r="AJ449" i="8" s="1"/>
  <c r="AJ830" i="8" s="1"/>
  <c r="AG655" i="8"/>
  <c r="AL430" i="8"/>
  <c r="AE878" i="8"/>
  <c r="AE506" i="8"/>
  <c r="AE507" i="8" s="1"/>
  <c r="AH547" i="8"/>
  <c r="AH550" i="8"/>
  <c r="AH551" i="8" s="1"/>
  <c r="AI588" i="8"/>
  <c r="AJ583" i="8" s="1"/>
  <c r="AL391" i="8" l="1"/>
  <c r="AK127" i="8"/>
  <c r="AJ130" i="8"/>
  <c r="AK125" i="8" s="1"/>
  <c r="AK128" i="8" s="1"/>
  <c r="AK513" i="8" s="1"/>
  <c r="AL543" i="8"/>
  <c r="AM538" i="8" s="1"/>
  <c r="AL731" i="8"/>
  <c r="AM726" i="8" s="1"/>
  <c r="AM389" i="8"/>
  <c r="AL392" i="8"/>
  <c r="AM387" i="8" s="1"/>
  <c r="AM390" i="8" s="1"/>
  <c r="AM773" i="8" s="1"/>
  <c r="AK320" i="8"/>
  <c r="AL315" i="8" s="1"/>
  <c r="AL318" i="8" s="1"/>
  <c r="AL701" i="8" s="1"/>
  <c r="AL317" i="8"/>
  <c r="AK353" i="8"/>
  <c r="AJ356" i="8"/>
  <c r="AK351" i="8" s="1"/>
  <c r="AK354" i="8" s="1"/>
  <c r="AK737" i="8" s="1"/>
  <c r="AM224" i="8"/>
  <c r="AM225" i="8" s="1"/>
  <c r="AL337" i="8"/>
  <c r="AH279" i="8"/>
  <c r="AI274" i="8" s="1"/>
  <c r="AI277" i="8" s="1"/>
  <c r="AI661" i="8" s="1"/>
  <c r="AI276" i="8"/>
  <c r="AJ285" i="8"/>
  <c r="AJ287" i="8" s="1"/>
  <c r="AL346" i="8"/>
  <c r="AL347" i="8" s="1"/>
  <c r="AM342" i="8" s="1"/>
  <c r="AM345" i="8" s="1"/>
  <c r="AM728" i="8" s="1"/>
  <c r="AG860" i="8"/>
  <c r="AH859" i="8"/>
  <c r="AM344" i="8"/>
  <c r="AM627" i="8"/>
  <c r="AJ478" i="8"/>
  <c r="AK473" i="8" s="1"/>
  <c r="AK476" i="8" s="1"/>
  <c r="AK857" i="8" s="1"/>
  <c r="AK475" i="8"/>
  <c r="AK242" i="8"/>
  <c r="AL190" i="8"/>
  <c r="AK193" i="8"/>
  <c r="AL188" i="8" s="1"/>
  <c r="AL191" i="8" s="1"/>
  <c r="AL576" i="8" s="1"/>
  <c r="AL579" i="8" s="1"/>
  <c r="AM574" i="8" s="1"/>
  <c r="AK234" i="8"/>
  <c r="AL229" i="8" s="1"/>
  <c r="AL232" i="8" s="1"/>
  <c r="AL616" i="8" s="1"/>
  <c r="AL619" i="8" s="1"/>
  <c r="AM614" i="8" s="1"/>
  <c r="AL231" i="8"/>
  <c r="AL163" i="8"/>
  <c r="AH739" i="8"/>
  <c r="AG740" i="8"/>
  <c r="AL432" i="8"/>
  <c r="AM430" i="8" s="1"/>
  <c r="AM251" i="8"/>
  <c r="AM252" i="8" s="1"/>
  <c r="AL156" i="8"/>
  <c r="AL269" i="8"/>
  <c r="AI184" i="8"/>
  <c r="AJ179" i="8" s="1"/>
  <c r="AJ182" i="8" s="1"/>
  <c r="AJ567" i="8" s="1"/>
  <c r="AJ570" i="8" s="1"/>
  <c r="AK565" i="8" s="1"/>
  <c r="AL569" i="8" s="1"/>
  <c r="AJ181" i="8"/>
  <c r="AJ382" i="8"/>
  <c r="AJ459" i="8"/>
  <c r="AJ450" i="8"/>
  <c r="AK448" i="8" s="1"/>
  <c r="AM364" i="8"/>
  <c r="AM365" i="8" s="1"/>
  <c r="AM869" i="8"/>
  <c r="AM801" i="8"/>
  <c r="AM805" i="8"/>
  <c r="AL165" i="8"/>
  <c r="AL166" i="8" s="1"/>
  <c r="AM161" i="8" s="1"/>
  <c r="AM164" i="8" s="1"/>
  <c r="AM549" i="8" s="1"/>
  <c r="AM147" i="8"/>
  <c r="AM148" i="8" s="1"/>
  <c r="AL414" i="8"/>
  <c r="AL415" i="8" s="1"/>
  <c r="AM410" i="8" s="1"/>
  <c r="AM413" i="8" s="1"/>
  <c r="AM794" i="8" s="1"/>
  <c r="AG673" i="8"/>
  <c r="AH672" i="8"/>
  <c r="AG767" i="8"/>
  <c r="AH766" i="8"/>
  <c r="AE877" i="8"/>
  <c r="AF505" i="8"/>
  <c r="AF878" i="8" s="1"/>
  <c r="AF502" i="8"/>
  <c r="AM632" i="8"/>
  <c r="AM636" i="8"/>
  <c r="AH552" i="8"/>
  <c r="AE882" i="8"/>
  <c r="AF599" i="8"/>
  <c r="AF883" i="8" s="1"/>
  <c r="AF596" i="8"/>
  <c r="AJ587" i="8"/>
  <c r="AJ588" i="8" s="1"/>
  <c r="AK583" i="8" s="1"/>
  <c r="AL468" i="8"/>
  <c r="AM174" i="8"/>
  <c r="AM175" i="8" s="1"/>
  <c r="AH758" i="8"/>
  <c r="AH704" i="8"/>
  <c r="AH516" i="8"/>
  <c r="Y85" i="12"/>
  <c r="AH662" i="8"/>
  <c r="AH663" i="8" s="1"/>
  <c r="AH659" i="8"/>
  <c r="AH792" i="8"/>
  <c r="AH795" i="8"/>
  <c r="AH796" i="8" s="1"/>
  <c r="AH556" i="8"/>
  <c r="AH559" i="8"/>
  <c r="AH560" i="8" s="1"/>
  <c r="AH646" i="8"/>
  <c r="AI645" i="8"/>
  <c r="AH851" i="8"/>
  <c r="AF787" i="8"/>
  <c r="AF788" i="8" s="1"/>
  <c r="AL433" i="8"/>
  <c r="AM428" i="8" s="1"/>
  <c r="AM431" i="8" s="1"/>
  <c r="AM812" i="8" s="1"/>
  <c r="AM815" i="8" s="1"/>
  <c r="AH653" i="8"/>
  <c r="AH654" i="8" s="1"/>
  <c r="AH650" i="8"/>
  <c r="AH610" i="8"/>
  <c r="AH771" i="8"/>
  <c r="AG886" i="8"/>
  <c r="AM258" i="8"/>
  <c r="AL261" i="8"/>
  <c r="AM256" i="8" s="1"/>
  <c r="AM259" i="8" s="1"/>
  <c r="AM643" i="8" s="1"/>
  <c r="AF887" i="8"/>
  <c r="AG690" i="8"/>
  <c r="AG693" i="8"/>
  <c r="AI682" i="8"/>
  <c r="AJ677" i="8" s="1"/>
  <c r="AH842" i="8"/>
  <c r="AH833" i="8"/>
  <c r="AI832" i="8"/>
  <c r="AH747" i="8"/>
  <c r="AH748" i="8" s="1"/>
  <c r="AH744" i="8"/>
  <c r="AK355" i="8" l="1"/>
  <c r="AK129" i="8"/>
  <c r="AM391" i="8"/>
  <c r="AM392" i="8" s="1"/>
  <c r="AL127" i="8"/>
  <c r="AK130" i="8"/>
  <c r="AL125" i="8" s="1"/>
  <c r="AL128" i="8" s="1"/>
  <c r="AL513" i="8" s="1"/>
  <c r="AM730" i="8"/>
  <c r="AM731" i="8" s="1"/>
  <c r="AM542" i="8"/>
  <c r="AL319" i="8"/>
  <c r="AM412" i="8"/>
  <c r="AI278" i="8"/>
  <c r="AM335" i="8"/>
  <c r="AL338" i="8"/>
  <c r="AM333" i="8" s="1"/>
  <c r="AM336" i="8" s="1"/>
  <c r="AM719" i="8" s="1"/>
  <c r="AM722" i="8" s="1"/>
  <c r="AL192" i="8"/>
  <c r="AM346" i="8"/>
  <c r="AM347" i="8" s="1"/>
  <c r="AH855" i="8"/>
  <c r="AH858" i="8"/>
  <c r="AK477" i="8"/>
  <c r="AL240" i="8"/>
  <c r="AK243" i="8"/>
  <c r="AL238" i="8" s="1"/>
  <c r="AL241" i="8" s="1"/>
  <c r="AL625" i="8" s="1"/>
  <c r="AL628" i="8" s="1"/>
  <c r="AM623" i="8" s="1"/>
  <c r="AL353" i="8"/>
  <c r="AK356" i="8"/>
  <c r="AL351" i="8" s="1"/>
  <c r="AL354" i="8" s="1"/>
  <c r="AL737" i="8" s="1"/>
  <c r="AK285" i="8"/>
  <c r="AJ288" i="8"/>
  <c r="AK283" i="8" s="1"/>
  <c r="AK286" i="8" s="1"/>
  <c r="AK670" i="8" s="1"/>
  <c r="AJ451" i="8"/>
  <c r="AK446" i="8" s="1"/>
  <c r="AK449" i="8" s="1"/>
  <c r="AK830" i="8" s="1"/>
  <c r="AL233" i="8"/>
  <c r="AM163" i="8"/>
  <c r="AM165" i="8" s="1"/>
  <c r="AM166" i="8" s="1"/>
  <c r="AF506" i="8"/>
  <c r="AF507" i="8" s="1"/>
  <c r="AH738" i="8"/>
  <c r="AH735" i="8"/>
  <c r="AL157" i="8"/>
  <c r="AM152" i="8" s="1"/>
  <c r="AM155" i="8" s="1"/>
  <c r="AM540" i="8" s="1"/>
  <c r="AM543" i="8" s="1"/>
  <c r="AM154" i="8"/>
  <c r="AL270" i="8"/>
  <c r="AM265" i="8" s="1"/>
  <c r="AM268" i="8" s="1"/>
  <c r="AM652" i="8" s="1"/>
  <c r="AM267" i="8"/>
  <c r="AJ183" i="8"/>
  <c r="AK181" i="8" s="1"/>
  <c r="AM806" i="8"/>
  <c r="AJ383" i="8"/>
  <c r="AK378" i="8" s="1"/>
  <c r="AK381" i="8" s="1"/>
  <c r="AK764" i="8" s="1"/>
  <c r="AK380" i="8"/>
  <c r="AJ460" i="8"/>
  <c r="AK455" i="8" s="1"/>
  <c r="AK458" i="8" s="1"/>
  <c r="AK839" i="8" s="1"/>
  <c r="AK457" i="8"/>
  <c r="AF600" i="8"/>
  <c r="AF601" i="8" s="1"/>
  <c r="AM637" i="8"/>
  <c r="AM414" i="8"/>
  <c r="AM415" i="8" s="1"/>
  <c r="AM432" i="8"/>
  <c r="AM433" i="8" s="1"/>
  <c r="AH765" i="8"/>
  <c r="AH762" i="8"/>
  <c r="AH671" i="8"/>
  <c r="AH668" i="8"/>
  <c r="AI831" i="8"/>
  <c r="AI828" i="8"/>
  <c r="AI837" i="8"/>
  <c r="AI840" i="8"/>
  <c r="AI841" i="8" s="1"/>
  <c r="AH655" i="8"/>
  <c r="AI846" i="8"/>
  <c r="AI849" i="8"/>
  <c r="AI850" i="8" s="1"/>
  <c r="AI644" i="8"/>
  <c r="AI641" i="8"/>
  <c r="AH664" i="8"/>
  <c r="AK587" i="8"/>
  <c r="AK588" i="8" s="1"/>
  <c r="AL583" i="8" s="1"/>
  <c r="AH749" i="8"/>
  <c r="AJ681" i="8"/>
  <c r="AJ682" i="8" s="1"/>
  <c r="AG888" i="8"/>
  <c r="AG694" i="8"/>
  <c r="AG695" i="8" s="1"/>
  <c r="AM260" i="8"/>
  <c r="AM261" i="8" s="1"/>
  <c r="AH776" i="8"/>
  <c r="AI775" i="8"/>
  <c r="AI608" i="8"/>
  <c r="AI609" i="8" s="1"/>
  <c r="AI605" i="8"/>
  <c r="AH561" i="8"/>
  <c r="AH797" i="8"/>
  <c r="AI511" i="8"/>
  <c r="AI514" i="8"/>
  <c r="AI515" i="8" s="1"/>
  <c r="AI702" i="8"/>
  <c r="AI703" i="8" s="1"/>
  <c r="AI699" i="8"/>
  <c r="AI753" i="8"/>
  <c r="AI756" i="8"/>
  <c r="AI757" i="8" s="1"/>
  <c r="AF892" i="8"/>
  <c r="AG786" i="8"/>
  <c r="AG893" i="8" s="1"/>
  <c r="AG783" i="8"/>
  <c r="AM466" i="8"/>
  <c r="AL469" i="8"/>
  <c r="AM464" i="8" s="1"/>
  <c r="AM467" i="8" s="1"/>
  <c r="AM848" i="8" s="1"/>
  <c r="AI550" i="8"/>
  <c r="AI551" i="8" s="1"/>
  <c r="AI547" i="8"/>
  <c r="AL129" i="8" l="1"/>
  <c r="AL320" i="8"/>
  <c r="AM315" i="8" s="1"/>
  <c r="AM318" i="8" s="1"/>
  <c r="AM701" i="8" s="1"/>
  <c r="AM317" i="8"/>
  <c r="AK450" i="8"/>
  <c r="AK451" i="8" s="1"/>
  <c r="AL446" i="8" s="1"/>
  <c r="AL449" i="8" s="1"/>
  <c r="AL830" i="8" s="1"/>
  <c r="AM337" i="8"/>
  <c r="AM338" i="8" s="1"/>
  <c r="AI279" i="8"/>
  <c r="AJ274" i="8" s="1"/>
  <c r="AJ277" i="8" s="1"/>
  <c r="AJ661" i="8" s="1"/>
  <c r="AJ276" i="8"/>
  <c r="AH860" i="8"/>
  <c r="AI859" i="8"/>
  <c r="AL193" i="8"/>
  <c r="AM188" i="8" s="1"/>
  <c r="AM191" i="8" s="1"/>
  <c r="AM576" i="8" s="1"/>
  <c r="AM579" i="8" s="1"/>
  <c r="AM190" i="8"/>
  <c r="AL242" i="8"/>
  <c r="AL475" i="8"/>
  <c r="AK478" i="8"/>
  <c r="AL473" i="8" s="1"/>
  <c r="AL476" i="8" s="1"/>
  <c r="AL857" i="8" s="1"/>
  <c r="AK287" i="8"/>
  <c r="AL355" i="8"/>
  <c r="AL234" i="8"/>
  <c r="AM229" i="8" s="1"/>
  <c r="AM232" i="8" s="1"/>
  <c r="AM616" i="8" s="1"/>
  <c r="AM619" i="8" s="1"/>
  <c r="AM231" i="8"/>
  <c r="AJ184" i="8"/>
  <c r="AK179" i="8" s="1"/>
  <c r="AK182" i="8" s="1"/>
  <c r="AK567" i="8" s="1"/>
  <c r="AK570" i="8" s="1"/>
  <c r="AL565" i="8" s="1"/>
  <c r="AM569" i="8" s="1"/>
  <c r="AM156" i="8"/>
  <c r="AM157" i="8" s="1"/>
  <c r="AH740" i="8"/>
  <c r="AI739" i="8"/>
  <c r="AM269" i="8"/>
  <c r="AM270" i="8" s="1"/>
  <c r="AK382" i="8"/>
  <c r="AK459" i="8"/>
  <c r="AL587" i="8"/>
  <c r="AL588" i="8" s="1"/>
  <c r="AH673" i="8"/>
  <c r="AI672" i="8"/>
  <c r="AH767" i="8"/>
  <c r="AI766" i="8"/>
  <c r="AG887" i="8"/>
  <c r="AH693" i="8"/>
  <c r="AH888" i="8" s="1"/>
  <c r="X888" i="8" s="1"/>
  <c r="Y11" i="13" s="1"/>
  <c r="Y30" i="13" s="1"/>
  <c r="Y75" i="13" s="1"/>
  <c r="Y84" i="13" s="1"/>
  <c r="AH690" i="8"/>
  <c r="AK677" i="8"/>
  <c r="AK681" i="8"/>
  <c r="AI758" i="8"/>
  <c r="AI516" i="8"/>
  <c r="AI610" i="8"/>
  <c r="AF877" i="8"/>
  <c r="AG502" i="8"/>
  <c r="AG505" i="8"/>
  <c r="AF882" i="8"/>
  <c r="AG596" i="8"/>
  <c r="AG599" i="8"/>
  <c r="AM468" i="8"/>
  <c r="AM469" i="8" s="1"/>
  <c r="AI704" i="8"/>
  <c r="AI795" i="8"/>
  <c r="AI796" i="8" s="1"/>
  <c r="AI792" i="8"/>
  <c r="AI559" i="8"/>
  <c r="AI560" i="8" s="1"/>
  <c r="AI556" i="8"/>
  <c r="AI771" i="8"/>
  <c r="AH886" i="8"/>
  <c r="X886" i="8" s="1"/>
  <c r="Y9" i="13" s="1"/>
  <c r="Y47" i="13" s="1"/>
  <c r="Y73" i="13" s="1"/>
  <c r="AI659" i="8"/>
  <c r="AI662" i="8"/>
  <c r="AI663" i="8" s="1"/>
  <c r="AI851" i="8"/>
  <c r="AI650" i="8"/>
  <c r="AI653" i="8"/>
  <c r="AI654" i="8" s="1"/>
  <c r="AI842" i="8"/>
  <c r="AG787" i="8"/>
  <c r="AG788" i="8" s="1"/>
  <c r="AI552" i="8"/>
  <c r="AI744" i="8"/>
  <c r="AI747" i="8"/>
  <c r="AI748" i="8" s="1"/>
  <c r="AJ645" i="8"/>
  <c r="AI646" i="8"/>
  <c r="AI833" i="8"/>
  <c r="AJ832" i="8"/>
  <c r="AM127" i="8" l="1"/>
  <c r="AL130" i="8"/>
  <c r="AM125" i="8" s="1"/>
  <c r="AM128" i="8" s="1"/>
  <c r="AM513" i="8" s="1"/>
  <c r="AM319" i="8"/>
  <c r="AM320" i="8" s="1"/>
  <c r="AL448" i="8"/>
  <c r="AL450" i="8" s="1"/>
  <c r="AJ278" i="8"/>
  <c r="AM192" i="8"/>
  <c r="AM193" i="8" s="1"/>
  <c r="AI858" i="8"/>
  <c r="AI855" i="8"/>
  <c r="AK183" i="8"/>
  <c r="AK184" i="8" s="1"/>
  <c r="AL179" i="8" s="1"/>
  <c r="AL182" i="8" s="1"/>
  <c r="AL567" i="8" s="1"/>
  <c r="AL570" i="8" s="1"/>
  <c r="AM565" i="8" s="1"/>
  <c r="AL477" i="8"/>
  <c r="AM240" i="8"/>
  <c r="AL243" i="8"/>
  <c r="AM238" i="8" s="1"/>
  <c r="AM241" i="8" s="1"/>
  <c r="AM625" i="8" s="1"/>
  <c r="AM628" i="8" s="1"/>
  <c r="AL356" i="8"/>
  <c r="AM351" i="8" s="1"/>
  <c r="AM354" i="8" s="1"/>
  <c r="AM737" i="8" s="1"/>
  <c r="AM353" i="8"/>
  <c r="AL285" i="8"/>
  <c r="AK288" i="8"/>
  <c r="AL283" i="8" s="1"/>
  <c r="AL286" i="8" s="1"/>
  <c r="AL670" i="8" s="1"/>
  <c r="AH694" i="8"/>
  <c r="AH695" i="8" s="1"/>
  <c r="AL181" i="8"/>
  <c r="AM233" i="8"/>
  <c r="AM234" i="8" s="1"/>
  <c r="AI735" i="8"/>
  <c r="AI738" i="8"/>
  <c r="AM583" i="8"/>
  <c r="AM587" i="8"/>
  <c r="AL380" i="8"/>
  <c r="AK383" i="8"/>
  <c r="AL378" i="8" s="1"/>
  <c r="AL381" i="8" s="1"/>
  <c r="AL764" i="8" s="1"/>
  <c r="AL457" i="8"/>
  <c r="AK460" i="8"/>
  <c r="AL455" i="8" s="1"/>
  <c r="AL458" i="8" s="1"/>
  <c r="AL839" i="8" s="1"/>
  <c r="AI762" i="8"/>
  <c r="AI765" i="8"/>
  <c r="AI668" i="8"/>
  <c r="AI671" i="8"/>
  <c r="AG892" i="8"/>
  <c r="AH783" i="8"/>
  <c r="AH786" i="8"/>
  <c r="AH893" i="8" s="1"/>
  <c r="X893" i="8" s="1"/>
  <c r="Y11" i="14" s="1"/>
  <c r="Y30" i="14" s="1"/>
  <c r="Y78" i="14" s="1"/>
  <c r="Y87" i="14" s="1"/>
  <c r="AJ644" i="8"/>
  <c r="AJ641" i="8"/>
  <c r="AJ840" i="8"/>
  <c r="AJ837" i="8"/>
  <c r="AI655" i="8"/>
  <c r="AJ849" i="8"/>
  <c r="AJ850" i="8" s="1"/>
  <c r="AJ846" i="8"/>
  <c r="AI664" i="8"/>
  <c r="Y82" i="13"/>
  <c r="AM448" i="8"/>
  <c r="AL451" i="8"/>
  <c r="AM446" i="8" s="1"/>
  <c r="AM449" i="8" s="1"/>
  <c r="AM830" i="8" s="1"/>
  <c r="AI561" i="8"/>
  <c r="AI797" i="8"/>
  <c r="AG878" i="8"/>
  <c r="AG506" i="8"/>
  <c r="AG507" i="8" s="1"/>
  <c r="AJ605" i="8"/>
  <c r="AJ608" i="8"/>
  <c r="AJ609" i="8" s="1"/>
  <c r="AJ514" i="8"/>
  <c r="AJ515" i="8" s="1"/>
  <c r="AJ511" i="8"/>
  <c r="AJ756" i="8"/>
  <c r="AJ757" i="8" s="1"/>
  <c r="AJ753" i="8"/>
  <c r="AJ831" i="8"/>
  <c r="AJ828" i="8"/>
  <c r="AI749" i="8"/>
  <c r="AJ547" i="8"/>
  <c r="AJ550" i="8"/>
  <c r="AJ551" i="8" s="1"/>
  <c r="AJ841" i="8"/>
  <c r="AI776" i="8"/>
  <c r="AJ771" i="8" s="1"/>
  <c r="AJ775" i="8"/>
  <c r="AJ699" i="8"/>
  <c r="AJ702" i="8"/>
  <c r="AJ703" i="8" s="1"/>
  <c r="AG883" i="8"/>
  <c r="AG600" i="8"/>
  <c r="AG601" i="8" s="1"/>
  <c r="AK682" i="8"/>
  <c r="AL677" i="8" s="1"/>
  <c r="AM129" i="8" l="1"/>
  <c r="AM130" i="8" s="1"/>
  <c r="AL183" i="8"/>
  <c r="AM181" i="8" s="1"/>
  <c r="AM242" i="8"/>
  <c r="AM243" i="8" s="1"/>
  <c r="AJ279" i="8"/>
  <c r="AK274" i="8" s="1"/>
  <c r="AK277" i="8" s="1"/>
  <c r="AK661" i="8" s="1"/>
  <c r="AK276" i="8"/>
  <c r="AI860" i="8"/>
  <c r="AJ859" i="8"/>
  <c r="AM355" i="8"/>
  <c r="AM356" i="8" s="1"/>
  <c r="AL478" i="8"/>
  <c r="AM473" i="8" s="1"/>
  <c r="AM476" i="8" s="1"/>
  <c r="AM857" i="8" s="1"/>
  <c r="AM475" i="8"/>
  <c r="AL287" i="8"/>
  <c r="AI740" i="8"/>
  <c r="AJ739" i="8"/>
  <c r="AL184" i="8"/>
  <c r="AM179" i="8" s="1"/>
  <c r="AM182" i="8" s="1"/>
  <c r="AM567" i="8" s="1"/>
  <c r="AM570" i="8" s="1"/>
  <c r="AM588" i="8"/>
  <c r="AL382" i="8"/>
  <c r="AL459" i="8"/>
  <c r="AM457" i="8" s="1"/>
  <c r="AI673" i="8"/>
  <c r="AJ672" i="8"/>
  <c r="AI767" i="8"/>
  <c r="AJ766" i="8"/>
  <c r="AG882" i="8"/>
  <c r="AH599" i="8"/>
  <c r="AH883" i="8" s="1"/>
  <c r="X883" i="8" s="1"/>
  <c r="Y12" i="12" s="1"/>
  <c r="Y31" i="12" s="1"/>
  <c r="Y78" i="12" s="1"/>
  <c r="Y87" i="12" s="1"/>
  <c r="AH596" i="8"/>
  <c r="AJ833" i="8"/>
  <c r="AK832" i="8"/>
  <c r="AL681" i="8"/>
  <c r="AL682" i="8" s="1"/>
  <c r="AM677" i="8" s="1"/>
  <c r="AJ704" i="8"/>
  <c r="AJ776" i="8"/>
  <c r="AK771" i="8" s="1"/>
  <c r="AK775" i="8"/>
  <c r="AJ552" i="8"/>
  <c r="AJ747" i="8"/>
  <c r="AJ748" i="8" s="1"/>
  <c r="AJ744" i="8"/>
  <c r="AJ610" i="8"/>
  <c r="AJ792" i="8"/>
  <c r="AJ795" i="8"/>
  <c r="AJ796" i="8" s="1"/>
  <c r="AJ556" i="8"/>
  <c r="AJ559" i="8"/>
  <c r="AJ560" i="8" s="1"/>
  <c r="AM450" i="8"/>
  <c r="AM451" i="8" s="1"/>
  <c r="AJ662" i="8"/>
  <c r="AJ663" i="8" s="1"/>
  <c r="AJ659" i="8"/>
  <c r="AJ653" i="8"/>
  <c r="AJ654" i="8" s="1"/>
  <c r="AJ650" i="8"/>
  <c r="AH787" i="8"/>
  <c r="AH788" i="8" s="1"/>
  <c r="AH887" i="8"/>
  <c r="X887" i="8" s="1"/>
  <c r="Y10" i="13" s="1"/>
  <c r="Y62" i="13" s="1"/>
  <c r="Y64" i="13" s="1"/>
  <c r="Y66" i="13" s="1"/>
  <c r="Y74" i="13" s="1"/>
  <c r="AI690" i="8"/>
  <c r="AI693" i="8"/>
  <c r="AI694" i="8" s="1"/>
  <c r="AG877" i="8"/>
  <c r="AH505" i="8"/>
  <c r="AH878" i="8" s="1"/>
  <c r="X878" i="8" s="1"/>
  <c r="Y11" i="11" s="1"/>
  <c r="Y30" i="11" s="1"/>
  <c r="Y78" i="11" s="1"/>
  <c r="Y87" i="11" s="1"/>
  <c r="AH502" i="8"/>
  <c r="AJ758" i="8"/>
  <c r="AJ516" i="8"/>
  <c r="AJ851" i="8"/>
  <c r="AJ842" i="8"/>
  <c r="AJ646" i="8"/>
  <c r="AK645" i="8"/>
  <c r="AK278" i="8" l="1"/>
  <c r="AJ855" i="8"/>
  <c r="AJ858" i="8"/>
  <c r="AM477" i="8"/>
  <c r="AM478" i="8" s="1"/>
  <c r="AM285" i="8"/>
  <c r="AL288" i="8"/>
  <c r="AM283" i="8" s="1"/>
  <c r="AM286" i="8" s="1"/>
  <c r="AM670" i="8" s="1"/>
  <c r="AH600" i="8"/>
  <c r="AH601" i="8" s="1"/>
  <c r="AM183" i="8"/>
  <c r="AM184" i="8" s="1"/>
  <c r="AJ735" i="8"/>
  <c r="AJ738" i="8"/>
  <c r="AL460" i="8"/>
  <c r="AM455" i="8" s="1"/>
  <c r="AM458" i="8" s="1"/>
  <c r="AM839" i="8" s="1"/>
  <c r="AM380" i="8"/>
  <c r="AL383" i="8"/>
  <c r="AM378" i="8" s="1"/>
  <c r="AM381" i="8" s="1"/>
  <c r="AM764" i="8" s="1"/>
  <c r="AM681" i="8"/>
  <c r="AM682" i="8" s="1"/>
  <c r="AJ765" i="8"/>
  <c r="AJ762" i="8"/>
  <c r="AJ671" i="8"/>
  <c r="AJ668" i="8"/>
  <c r="AH892" i="8"/>
  <c r="X892" i="8" s="1"/>
  <c r="Y10" i="14" s="1"/>
  <c r="Y64" i="14" s="1"/>
  <c r="Y66" i="14" s="1"/>
  <c r="Y68" i="14" s="1"/>
  <c r="Y77" i="14" s="1"/>
  <c r="AI786" i="8"/>
  <c r="AI787" i="8" s="1"/>
  <c r="AI783" i="8"/>
  <c r="AK641" i="8"/>
  <c r="AK644" i="8"/>
  <c r="AK837" i="8"/>
  <c r="AK840" i="8"/>
  <c r="AK841" i="8" s="1"/>
  <c r="AK511" i="8"/>
  <c r="AK514" i="8"/>
  <c r="AK515" i="8" s="1"/>
  <c r="Y83" i="13"/>
  <c r="Y86" i="13" s="1"/>
  <c r="Y77" i="13"/>
  <c r="AJ655" i="8"/>
  <c r="AJ664" i="8"/>
  <c r="AJ749" i="8"/>
  <c r="AK702" i="8"/>
  <c r="AK703" i="8" s="1"/>
  <c r="AK699" i="8"/>
  <c r="AH506" i="8"/>
  <c r="AH507" i="8" s="1"/>
  <c r="AK846" i="8"/>
  <c r="AK849" i="8"/>
  <c r="AK850" i="8" s="1"/>
  <c r="AK753" i="8"/>
  <c r="AK756" i="8"/>
  <c r="AK757" i="8" s="1"/>
  <c r="AI695" i="8"/>
  <c r="AJ561" i="8"/>
  <c r="AJ797" i="8"/>
  <c r="AK608" i="8"/>
  <c r="AK609" i="8" s="1"/>
  <c r="AK605" i="8"/>
  <c r="AK550" i="8"/>
  <c r="AK551" i="8" s="1"/>
  <c r="AK547" i="8"/>
  <c r="AK776" i="8"/>
  <c r="AL771" i="8" s="1"/>
  <c r="AL775" i="8"/>
  <c r="AK831" i="8"/>
  <c r="AK828" i="8"/>
  <c r="AK279" i="8" l="1"/>
  <c r="AL274" i="8" s="1"/>
  <c r="AL277" i="8" s="1"/>
  <c r="AL661" i="8" s="1"/>
  <c r="AL276" i="8"/>
  <c r="AJ860" i="8"/>
  <c r="AK859" i="8"/>
  <c r="AM287" i="8"/>
  <c r="AM288" i="8" s="1"/>
  <c r="AK739" i="8"/>
  <c r="AJ740" i="8"/>
  <c r="AM459" i="8"/>
  <c r="AM460" i="8" s="1"/>
  <c r="AM382" i="8"/>
  <c r="AM383" i="8" s="1"/>
  <c r="AJ673" i="8"/>
  <c r="AK672" i="8"/>
  <c r="AJ767" i="8"/>
  <c r="AK766" i="8"/>
  <c r="AH877" i="8"/>
  <c r="X877" i="8" s="1"/>
  <c r="Y10" i="11" s="1"/>
  <c r="Y64" i="11" s="1"/>
  <c r="Y67" i="11" s="1"/>
  <c r="AI502" i="8"/>
  <c r="AI505" i="8"/>
  <c r="AI506" i="8" s="1"/>
  <c r="AL776" i="8"/>
  <c r="AM771" i="8" s="1"/>
  <c r="AM775" i="8"/>
  <c r="AK795" i="8"/>
  <c r="AK792" i="8"/>
  <c r="AK559" i="8"/>
  <c r="AK560" i="8" s="1"/>
  <c r="AK556" i="8"/>
  <c r="AK744" i="8"/>
  <c r="AK747" i="8"/>
  <c r="AK748" i="8" s="1"/>
  <c r="AK659" i="8"/>
  <c r="AK662" i="8"/>
  <c r="AK663" i="8" s="1"/>
  <c r="AK650" i="8"/>
  <c r="AK653" i="8"/>
  <c r="AK654" i="8" s="1"/>
  <c r="Y43" i="34"/>
  <c r="AK516" i="8"/>
  <c r="AK842" i="8"/>
  <c r="AK646" i="8"/>
  <c r="AL645" i="8"/>
  <c r="AI788" i="8"/>
  <c r="AK833" i="8"/>
  <c r="AL832" i="8"/>
  <c r="AK552" i="8"/>
  <c r="AK610" i="8"/>
  <c r="AK796" i="8"/>
  <c r="AK758" i="8"/>
  <c r="AK851" i="8"/>
  <c r="AK704" i="8"/>
  <c r="AH882" i="8"/>
  <c r="X882" i="8" s="1"/>
  <c r="Y11" i="12" s="1"/>
  <c r="Y65" i="12" s="1"/>
  <c r="Y67" i="12" s="1"/>
  <c r="Y69" i="12" s="1"/>
  <c r="Y77" i="12" s="1"/>
  <c r="AI596" i="8"/>
  <c r="AI599" i="8"/>
  <c r="AI600" i="8" s="1"/>
  <c r="AJ693" i="8"/>
  <c r="AJ694" i="8" s="1"/>
  <c r="AJ690" i="8"/>
  <c r="Y86" i="14"/>
  <c r="Y89" i="14" s="1"/>
  <c r="Y80" i="14"/>
  <c r="AL278" i="8" l="1"/>
  <c r="AK858" i="8"/>
  <c r="AK855" i="8"/>
  <c r="AK735" i="8"/>
  <c r="AK738" i="8"/>
  <c r="AM776" i="8"/>
  <c r="AK762" i="8"/>
  <c r="AK765" i="8"/>
  <c r="AK668" i="8"/>
  <c r="AK671" i="8"/>
  <c r="AI601" i="8"/>
  <c r="AL699" i="8"/>
  <c r="AL702" i="8"/>
  <c r="AL703" i="8" s="1"/>
  <c r="AL849" i="8"/>
  <c r="AL850" i="8" s="1"/>
  <c r="AL846" i="8"/>
  <c r="AJ695" i="8"/>
  <c r="Y86" i="12"/>
  <c r="Y89" i="12" s="1"/>
  <c r="Y80" i="12"/>
  <c r="AK561" i="8"/>
  <c r="AK797" i="8"/>
  <c r="AI507" i="8"/>
  <c r="Y44" i="34"/>
  <c r="AL756" i="8"/>
  <c r="AL757" i="8" s="1"/>
  <c r="AL753" i="8"/>
  <c r="AL605" i="8"/>
  <c r="AL608" i="8"/>
  <c r="AL609" i="8" s="1"/>
  <c r="AL547" i="8"/>
  <c r="AL550" i="8"/>
  <c r="AL551" i="8" s="1"/>
  <c r="AL831" i="8"/>
  <c r="AL828" i="8"/>
  <c r="AJ783" i="8"/>
  <c r="AJ786" i="8"/>
  <c r="AJ787" i="8" s="1"/>
  <c r="AL644" i="8"/>
  <c r="AL641" i="8"/>
  <c r="AL840" i="8"/>
  <c r="AL841" i="8" s="1"/>
  <c r="AL837" i="8"/>
  <c r="AL514" i="8"/>
  <c r="AL515" i="8" s="1"/>
  <c r="AL511" i="8"/>
  <c r="Y86" i="34"/>
  <c r="Y88" i="34" s="1"/>
  <c r="Y153" i="34"/>
  <c r="Y154" i="34" s="1"/>
  <c r="Y157" i="34" s="1"/>
  <c r="N159" i="34" s="1"/>
  <c r="N160" i="34" s="1"/>
  <c r="AK655" i="8"/>
  <c r="AK664" i="8"/>
  <c r="AK749" i="8"/>
  <c r="Y69" i="11"/>
  <c r="AL279" i="8" l="1"/>
  <c r="AM274" i="8" s="1"/>
  <c r="AM277" i="8" s="1"/>
  <c r="AM661" i="8" s="1"/>
  <c r="AM276" i="8"/>
  <c r="AL859" i="8"/>
  <c r="AK860" i="8"/>
  <c r="AL739" i="8"/>
  <c r="AK740" i="8"/>
  <c r="AK673" i="8"/>
  <c r="AL672" i="8"/>
  <c r="AK767" i="8"/>
  <c r="AL766" i="8"/>
  <c r="AL516" i="8"/>
  <c r="AL842" i="8"/>
  <c r="AL646" i="8"/>
  <c r="AM645" i="8"/>
  <c r="AL833" i="8"/>
  <c r="AM832" i="8"/>
  <c r="AL758" i="8"/>
  <c r="AL851" i="8"/>
  <c r="Y77" i="11"/>
  <c r="AL747" i="8"/>
  <c r="AL748" i="8" s="1"/>
  <c r="AL744" i="8"/>
  <c r="AL662" i="8"/>
  <c r="AL663" i="8" s="1"/>
  <c r="AL659" i="8"/>
  <c r="AL653" i="8"/>
  <c r="AL654" i="8" s="1"/>
  <c r="AL650" i="8"/>
  <c r="AJ788" i="8"/>
  <c r="AL552" i="8"/>
  <c r="AL610" i="8"/>
  <c r="Y91" i="34"/>
  <c r="Y93" i="34" s="1"/>
  <c r="Y166" i="34"/>
  <c r="Y167" i="34" s="1"/>
  <c r="Y170" i="34" s="1"/>
  <c r="N172" i="34" s="1"/>
  <c r="N173" i="34" s="1"/>
  <c r="AJ505" i="8"/>
  <c r="AJ506" i="8" s="1"/>
  <c r="AJ502" i="8"/>
  <c r="AL792" i="8"/>
  <c r="AL795" i="8"/>
  <c r="AL796" i="8" s="1"/>
  <c r="AL556" i="8"/>
  <c r="AL559" i="8"/>
  <c r="AL560" i="8" s="1"/>
  <c r="Y42" i="34"/>
  <c r="AK690" i="8"/>
  <c r="AK693" i="8"/>
  <c r="AK694" i="8" s="1"/>
  <c r="AL704" i="8"/>
  <c r="AJ599" i="8"/>
  <c r="AJ600" i="8" s="1"/>
  <c r="AJ596" i="8"/>
  <c r="AM278" i="8" l="1"/>
  <c r="AM279" i="8" s="1"/>
  <c r="AL858" i="8"/>
  <c r="AL855" i="8"/>
  <c r="AL735" i="8"/>
  <c r="AL738" i="8"/>
  <c r="AL765" i="8"/>
  <c r="AL762" i="8"/>
  <c r="AL671" i="8"/>
  <c r="AL668" i="8"/>
  <c r="Y139" i="34"/>
  <c r="Y140" i="34" s="1"/>
  <c r="Y143" i="34" s="1"/>
  <c r="N145" i="34" s="1"/>
  <c r="N146" i="34" s="1"/>
  <c r="Y74" i="34"/>
  <c r="Y81" i="34" s="1"/>
  <c r="Y83" i="34" s="1"/>
  <c r="AM608" i="8"/>
  <c r="AM609" i="8" s="1"/>
  <c r="AM605" i="8"/>
  <c r="AK786" i="8"/>
  <c r="AK787" i="8" s="1"/>
  <c r="AK783" i="8"/>
  <c r="AJ601" i="8"/>
  <c r="AJ507" i="8"/>
  <c r="AL655" i="8"/>
  <c r="AL664" i="8"/>
  <c r="AL749" i="8"/>
  <c r="AM702" i="8"/>
  <c r="AM703" i="8" s="1"/>
  <c r="AM699" i="8"/>
  <c r="AK695" i="8"/>
  <c r="AL561" i="8"/>
  <c r="AL797" i="8"/>
  <c r="AM550" i="8"/>
  <c r="AM551" i="8" s="1"/>
  <c r="AM547" i="8"/>
  <c r="Y86" i="11"/>
  <c r="Y90" i="11" s="1"/>
  <c r="Y81" i="11"/>
  <c r="AM846" i="8"/>
  <c r="AM849" i="8"/>
  <c r="AM850" i="8" s="1"/>
  <c r="AM753" i="8"/>
  <c r="AM756" i="8"/>
  <c r="AM757" i="8" s="1"/>
  <c r="AM831" i="8"/>
  <c r="AM828" i="8"/>
  <c r="AM644" i="8"/>
  <c r="AM641" i="8"/>
  <c r="AM837" i="8"/>
  <c r="AM840" i="8"/>
  <c r="AM841" i="8" s="1"/>
  <c r="AM511" i="8"/>
  <c r="AM514" i="8"/>
  <c r="AM515" i="8" s="1"/>
  <c r="AM859" i="8" l="1"/>
  <c r="AL860" i="8"/>
  <c r="AL740" i="8"/>
  <c r="AM739" i="8"/>
  <c r="AL673" i="8"/>
  <c r="AM672" i="8"/>
  <c r="AL767" i="8"/>
  <c r="AM766" i="8"/>
  <c r="AM842" i="8"/>
  <c r="AM758" i="8"/>
  <c r="AM851" i="8"/>
  <c r="AM559" i="8"/>
  <c r="AM560" i="8" s="1"/>
  <c r="AM556" i="8"/>
  <c r="AM646" i="8"/>
  <c r="AM833" i="8"/>
  <c r="AM552" i="8"/>
  <c r="AM704" i="8"/>
  <c r="AK788" i="8"/>
  <c r="AM610" i="8"/>
  <c r="AM516" i="8"/>
  <c r="Y41" i="34"/>
  <c r="AM795" i="8"/>
  <c r="AM796" i="8" s="1"/>
  <c r="AM792" i="8"/>
  <c r="AL693" i="8"/>
  <c r="AL694" i="8" s="1"/>
  <c r="AL690" i="8"/>
  <c r="AM744" i="8"/>
  <c r="AM747" i="8"/>
  <c r="AM748" i="8" s="1"/>
  <c r="AM659" i="8"/>
  <c r="AM662" i="8"/>
  <c r="AM663" i="8" s="1"/>
  <c r="AM650" i="8"/>
  <c r="AM653" i="8"/>
  <c r="AM654" i="8" s="1"/>
  <c r="AK502" i="8"/>
  <c r="AK505" i="8"/>
  <c r="AK506" i="8" s="1"/>
  <c r="AK596" i="8"/>
  <c r="AK599" i="8"/>
  <c r="AK600" i="8" s="1"/>
  <c r="AM855" i="8" l="1"/>
  <c r="AM858" i="8"/>
  <c r="AM738" i="8"/>
  <c r="AM735" i="8"/>
  <c r="AM762" i="8"/>
  <c r="AM765" i="8"/>
  <c r="AM668" i="8"/>
  <c r="AM671" i="8"/>
  <c r="AM797" i="8"/>
  <c r="AK601" i="8"/>
  <c r="AK507" i="8"/>
  <c r="AM655" i="8"/>
  <c r="AM664" i="8"/>
  <c r="AM749" i="8"/>
  <c r="AL783" i="8"/>
  <c r="AL786" i="8"/>
  <c r="AL787" i="8" s="1"/>
  <c r="AM561" i="8"/>
  <c r="AL695" i="8"/>
  <c r="Y52" i="34"/>
  <c r="Y61" i="34" s="1"/>
  <c r="Y46" i="34"/>
  <c r="AM860" i="8" l="1"/>
  <c r="AM740" i="8"/>
  <c r="AM673" i="8"/>
  <c r="AM767" i="8"/>
  <c r="Y62" i="34"/>
  <c r="Y66" i="34"/>
  <c r="AM690" i="8"/>
  <c r="AM693" i="8"/>
  <c r="AM694" i="8" s="1"/>
  <c r="AL505" i="8"/>
  <c r="AL506" i="8" s="1"/>
  <c r="AL502" i="8"/>
  <c r="AL599" i="8"/>
  <c r="AL600" i="8" s="1"/>
  <c r="AL596" i="8"/>
  <c r="AL788" i="8"/>
  <c r="AM695" i="8" l="1"/>
  <c r="AM786" i="8"/>
  <c r="AM783" i="8"/>
  <c r="AM787" i="8"/>
  <c r="AL601" i="8"/>
  <c r="AL507" i="8"/>
  <c r="Y68" i="34"/>
  <c r="Y124" i="34"/>
  <c r="Y125" i="34" s="1"/>
  <c r="Y128" i="34" s="1"/>
  <c r="N130" i="34" s="1"/>
  <c r="N131" i="34" s="1"/>
  <c r="Y108" i="34"/>
  <c r="Y109" i="34" s="1"/>
  <c r="Y112" i="34" s="1"/>
  <c r="N114" i="34" s="1"/>
  <c r="N115" i="34" s="1"/>
  <c r="Y64" i="34"/>
  <c r="N176" i="34" l="1"/>
  <c r="AM502" i="8"/>
  <c r="AM505" i="8"/>
  <c r="AM506" i="8" s="1"/>
  <c r="AM596" i="8"/>
  <c r="AM599" i="8"/>
  <c r="AM600" i="8" s="1"/>
  <c r="AM788" i="8"/>
  <c r="AM601" i="8" l="1"/>
  <c r="AM507" i="8"/>
  <c r="R202" i="34" l="1"/>
  <c r="R204" i="34" s="1"/>
  <c r="R207" i="34" s="1"/>
  <c r="S199" i="34"/>
  <c r="S202" i="34" l="1"/>
  <c r="S204" i="34" s="1"/>
  <c r="S207" i="34" s="1"/>
  <c r="N208" i="34" s="1"/>
  <c r="T199" i="34"/>
  <c r="N209" i="34" l="1"/>
  <c r="N243" i="34"/>
  <c r="U199" i="34"/>
  <c r="T202" i="34"/>
  <c r="T204" i="34" l="1"/>
  <c r="T207" i="34" s="1"/>
  <c r="U202" i="34"/>
  <c r="V199" i="34"/>
  <c r="U204" i="34" l="1"/>
  <c r="U207" i="34" s="1"/>
  <c r="W199" i="34"/>
  <c r="V202" i="34"/>
  <c r="W202" i="34" l="1"/>
  <c r="X199" i="34"/>
  <c r="V204" i="34"/>
  <c r="V207" i="34" s="1"/>
  <c r="X202" i="34" l="1"/>
  <c r="Y199" i="34"/>
  <c r="Y202" i="34" s="1"/>
  <c r="W204" i="34"/>
  <c r="W207" i="34" s="1"/>
  <c r="Y204" i="34" l="1"/>
  <c r="Y207" i="34" s="1"/>
  <c r="X204" i="34"/>
  <c r="X207" i="34" s="1"/>
</calcChain>
</file>

<file path=xl/comments1.xml><?xml version="1.0" encoding="utf-8"?>
<comments xmlns="http://schemas.openxmlformats.org/spreadsheetml/2006/main">
  <authors>
    <author>Stanley Hsieh</author>
  </authors>
  <commentList>
    <comment ref="Q20" authorId="0">
      <text>
        <r>
          <rPr>
            <b/>
            <sz val="9"/>
            <color indexed="81"/>
            <rFont val="Tahoma"/>
            <family val="2"/>
          </rPr>
          <t>Stanley Hsieh:</t>
        </r>
        <r>
          <rPr>
            <sz val="9"/>
            <color indexed="81"/>
            <rFont val="Tahoma"/>
            <family val="2"/>
          </rPr>
          <t xml:space="preserve">
reflecing Jan 15 increase
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Stanley Hsieh:</t>
        </r>
        <r>
          <rPr>
            <sz val="9"/>
            <color indexed="81"/>
            <rFont val="Tahoma"/>
            <family val="2"/>
          </rPr>
          <t xml:space="preserve">
refleting Jan 15 increase
</t>
        </r>
      </text>
    </comment>
    <comment ref="O104" authorId="0">
      <text>
        <r>
          <rPr>
            <b/>
            <sz val="8"/>
            <color indexed="81"/>
            <rFont val="Tahoma"/>
            <family val="2"/>
          </rPr>
          <t>Stanley Hsieh:</t>
        </r>
        <r>
          <rPr>
            <sz val="8"/>
            <color indexed="81"/>
            <rFont val="Tahoma"/>
            <family val="2"/>
          </rPr>
          <t xml:space="preserve">
Goal seek this to work out LRMC price. Goal = terminal value</t>
        </r>
      </text>
    </comment>
  </commentList>
</comments>
</file>

<file path=xl/comments2.xml><?xml version="1.0" encoding="utf-8"?>
<comments xmlns="http://schemas.openxmlformats.org/spreadsheetml/2006/main">
  <authors>
    <author>Stanley Hsieh</author>
  </authors>
  <commentList>
    <comment ref="N69" authorId="0">
      <text>
        <r>
          <rPr>
            <b/>
            <sz val="8"/>
            <color indexed="81"/>
            <rFont val="Tahoma"/>
            <family val="2"/>
          </rPr>
          <t>Stanley Hsieh:</t>
        </r>
        <r>
          <rPr>
            <sz val="8"/>
            <color indexed="81"/>
            <rFont val="Tahoma"/>
            <family val="2"/>
          </rPr>
          <t xml:space="preserve">
change to 1 yr</t>
        </r>
      </text>
    </comment>
    <comment ref="O88" authorId="0">
      <text>
        <r>
          <rPr>
            <b/>
            <sz val="9"/>
            <color indexed="81"/>
            <rFont val="Tahoma"/>
            <family val="2"/>
          </rPr>
          <t xml:space="preserve">Stanley Hsieh:
</t>
        </r>
        <r>
          <rPr>
            <sz val="9"/>
            <color indexed="81"/>
            <rFont val="Tahoma"/>
            <family val="2"/>
          </rPr>
          <t xml:space="preserve">Full revaluation is passed through here
</t>
        </r>
      </text>
    </comment>
  </commentList>
</comments>
</file>

<file path=xl/connections.xml><?xml version="1.0" encoding="utf-8"?>
<connections xmlns="http://schemas.openxmlformats.org/spreadsheetml/2006/main">
  <connection id="1" name="Pivot Table Conn_2" type="1" refreshedVersion="4" refreshOnLoad="1" saveData="1">
    <dbPr connection="DSN=Excel Files;DBQ=C:\Users\stanley\Documents\1. Stan's WIP\CIAL\\CIAL - Aero Pricing Strategy Model v3.29.xlsm;DefaultDir=C:\Users\stanley\Documents\1. Stan's WIP\CIAL\;DriverId=790;MaxBufferSize=2048;PageTimeout=5;" command="SELECT     _x000d__x000a_            'Capex' AS Data_Type,_x000d__x000a_            t1.Completed_By_Year_End AS [Date], _x000d__x000a_            t1.CapexID,_x000d__x000a_            t1.Asset_Class, _x000d__x000a_            t1.Asset, _x000d__x000a_            t1.Allocation_Driver,_x000d__x000a_            t2.Segment,_x000d__x000a_            t2.Driver,_x000d__x000a_            ' ' AS Depreciation_Type, _x000d__x000a_            t1.Cap_Interest,_x000d__x000a_            t1.Cap_Interest * t2.Driver AS 'Cap_Interest_Allocated',_x000d__x000a_            t1.Cost, _x000d__x000a_            t1.Cost * t2.Driver AS 'Cost_Allocated', _x000d__x000a_            t1.Cost_Nominal, _x000d__x000a_            t1.Cost_Nominal * t2.Driver AS 'Cost_Nominal_Allocated', _x000d__x000a_            0 AS 'Depreciation',_x000d__x000a_            0 AS 'Depreciation_Allocated', _x000d__x000a_            t1.Total AS 'Cost_Total',_x000d__x000a_            t1.Total*t2.Driver AS 'Cost_Total_Allocated'_x000d__x000a_            _x000d__x000a_FROM        SQL_Capex t1_x000d__x000a_            LEFT JOIN SQL_Driver t2 _x000d__x000a_ON_x0009__x0009__x0009_t1.Date_Ref = t2.Date_Ref_x000d__x000a_AND_x0009__x0009__x0009_t1.Allocation_Driver = t2.Allocation_Driver_x000d__x000a_WHERE       t1.Asset_Class&lt;&gt;'EXCLUDE'_x000d__x000a_AND         t1.Date_Ref&lt;&gt;'190001'_x000d__x000a_AND         t2.Date_Ref&lt;&gt;'190001'_x000d__x000a__x000d__x000a_UNION ALL_x000d__x000a__x000d__x000a__x000d__x000a_SELECT     _x000d__x000a_            'Depreciation' AS Data_Type,_x000d__x000a_            t1.Date_Ref_Dep AS [Date], _x000d__x000a_            0 as CapexID,_x000d__x000a_            t1.Asset_Class, _x000d__x000a_            t1.Asset, _x000d__x000a_            t1.Allocation_Driver,_x000d__x000a_            t2.Segment,_x000d__x000a_            t2.Driver,_x000d__x000a_            t1.Dep_Sel AS Depreciation_Type,_x000d__x000a_            0 AS 'Cap_Interest',_x000d__x000a_            0 AS 'Cap_Interest_Allocated',_x000d__x000a_            0 AS 'Cost', _x000d__x000a_            0 AS 'Cost_Allocated', _x000d__x000a_            0 AS 'Cost_Nominal', _x000d__x000a_            0 AS 'Cost_Nominal_Allocated', _x000d__x000a_            t1.Value AS 'Depreciation',_x000d__x000a_            t1.Value * t2.Driver AS 'Depreciation_Allocated', _x000d__x000a_            t1.Value AS 'Cost_Total',_x000d__x000a_            t1.Value * t2.Driver AS 'Cost_Total_Allocated'_x000d__x000a__x000d__x000a_FROM        SQL_Depreciation t1_x000d__x000a_            LEFT JOIN SQL_Driver t2 _x000d__x000a_ON_x0009__x0009__x0009_t1.Date_Ref_Driver = t2.Date_Ref _x000d__x000a_AND_x0009__x0009__x0009_t1.Allocation_Driver = t2.Allocation_Driver_x000d__x000a_WHERE       t1.Asset_Class &lt;&gt; 'EXCLUDE' _x000d__x000a_AND         t1.Date_Ref_Driver &lt;&gt; '190001'_x000d__x000a_AND         t1.Value &gt; 0_x000d__x000a_AND         t2.Date_Ref &lt;&gt; '190001'_x000d__x000a_AND         t1.Allocation_Driver &lt;&gt; 'No_Driver'"/>
  </connection>
</connections>
</file>

<file path=xl/sharedStrings.xml><?xml version="1.0" encoding="utf-8"?>
<sst xmlns="http://schemas.openxmlformats.org/spreadsheetml/2006/main" count="1797" uniqueCount="304">
  <si>
    <t>Difference</t>
  </si>
  <si>
    <t>NPV</t>
  </si>
  <si>
    <t>PV</t>
  </si>
  <si>
    <t>WACC</t>
  </si>
  <si>
    <t>Period</t>
  </si>
  <si>
    <t>Revenue</t>
  </si>
  <si>
    <t>$/Dep Seat</t>
  </si>
  <si>
    <t>Terminal Domestic - Turbo Prop</t>
  </si>
  <si>
    <t>Terminal Domestic - Jet</t>
  </si>
  <si>
    <t>Terminal International</t>
  </si>
  <si>
    <t>Airfield</t>
  </si>
  <si>
    <t>Price reset period</t>
  </si>
  <si>
    <t>$ / seat</t>
  </si>
  <si>
    <t>Domestic - turbo prop</t>
  </si>
  <si>
    <t>Domestic - jet</t>
  </si>
  <si>
    <t>$ / Seat</t>
  </si>
  <si>
    <t>Total Departing Seats International</t>
  </si>
  <si>
    <t>Revenue from PSC</t>
  </si>
  <si>
    <t>PSC Eligbility</t>
  </si>
  <si>
    <t>International PAX</t>
  </si>
  <si>
    <t>Terminal - international</t>
  </si>
  <si>
    <t>$ / MCTOW</t>
  </si>
  <si>
    <t>Total Departing MCTOW</t>
  </si>
  <si>
    <t>Total</t>
  </si>
  <si>
    <t>Check</t>
  </si>
  <si>
    <t>Terminal Domestic - Turboprop</t>
  </si>
  <si>
    <t>Version  -  CIAL - Simplfied model v2.2trial.xlsm</t>
  </si>
  <si>
    <t>Christchurch International Airport - Aero Pricing Strategy Model</t>
  </si>
  <si>
    <t>Years</t>
  </si>
  <si>
    <t>Software</t>
  </si>
  <si>
    <t>Car parking</t>
  </si>
  <si>
    <t>Terminal facilities</t>
  </si>
  <si>
    <t>Infrastructure</t>
  </si>
  <si>
    <t>Airfield Runway Apron Taxi</t>
  </si>
  <si>
    <t>Plant &amp; equipment</t>
  </si>
  <si>
    <t>Motor vehicles</t>
  </si>
  <si>
    <t>Computers &amp; Furniture</t>
  </si>
  <si>
    <t>Buildings</t>
  </si>
  <si>
    <t>Land</t>
  </si>
  <si>
    <t>PAX growth %</t>
  </si>
  <si>
    <t>total PAX</t>
  </si>
  <si>
    <t>Average Loading (%)</t>
  </si>
  <si>
    <t>Seats</t>
  </si>
  <si>
    <t>Departing PAX</t>
  </si>
  <si>
    <t>Domestic - Turbo Prop</t>
  </si>
  <si>
    <t>Domestic - Jet</t>
  </si>
  <si>
    <t>Total Pax</t>
  </si>
  <si>
    <t>International</t>
  </si>
  <si>
    <t>#</t>
  </si>
  <si>
    <t>Departing MCTOW</t>
  </si>
  <si>
    <t>%</t>
  </si>
  <si>
    <t>Total MCTOW growth</t>
  </si>
  <si>
    <t>Maximum Carrier Take Off Weight (MCTOW)</t>
  </si>
  <si>
    <t>Terminal Domestic - Regional Lounge</t>
  </si>
  <si>
    <t>Aircraft Movements</t>
  </si>
  <si>
    <t>Volume Forecast</t>
  </si>
  <si>
    <t>Discount period (mid-point)</t>
  </si>
  <si>
    <t>Index</t>
  </si>
  <si>
    <t>CPI growth</t>
  </si>
  <si>
    <t>Year</t>
  </si>
  <si>
    <t>Cost</t>
  </si>
  <si>
    <t>Dedicated JQ Check-in-counter</t>
  </si>
  <si>
    <t>Dedicated NZ Check-in-counter</t>
  </si>
  <si>
    <t>Carpark</t>
  </si>
  <si>
    <t>Property - Other</t>
  </si>
  <si>
    <t>Common Use Check-in-counter</t>
  </si>
  <si>
    <t>Commercial - Terminal</t>
  </si>
  <si>
    <t>NEW TERMINAL</t>
  </si>
  <si>
    <t>OLD TERMINAL</t>
  </si>
  <si>
    <t>Sheet End</t>
  </si>
  <si>
    <t>Allocating OPEX - ratios</t>
  </si>
  <si>
    <t>Combine Term Non Cont &amp; Term Cont</t>
  </si>
  <si>
    <t>ALL TERMINAL AND COMMERCIAL TO BE SPLIT BY SQM</t>
  </si>
  <si>
    <t>Terminal - ALL</t>
  </si>
  <si>
    <t>Personnel</t>
  </si>
  <si>
    <t>OPEX at Corporate level</t>
  </si>
  <si>
    <t>Closing</t>
  </si>
  <si>
    <t>Closing Accumulated Depreciation</t>
  </si>
  <si>
    <t>Depreciation</t>
  </si>
  <si>
    <t>Opening Accumulated Depreciation</t>
  </si>
  <si>
    <t>Opening</t>
  </si>
  <si>
    <t>Fixed assets</t>
  </si>
  <si>
    <t xml:space="preserve">Closing Accumulated Depreciation </t>
  </si>
  <si>
    <t>Capex</t>
  </si>
  <si>
    <t>[Blank FA 3]</t>
  </si>
  <si>
    <t>[Blank FA 2]</t>
  </si>
  <si>
    <t>[Blank FA 1]</t>
  </si>
  <si>
    <t>Depreciation adjustment (from valuation)</t>
  </si>
  <si>
    <t>Valuation</t>
  </si>
  <si>
    <t>Line Item</t>
  </si>
  <si>
    <t>Asset Class</t>
  </si>
  <si>
    <t>Terminal international</t>
  </si>
  <si>
    <t>Revaluation gains</t>
  </si>
  <si>
    <t>Payment periods</t>
  </si>
  <si>
    <t>Input variables</t>
  </si>
  <si>
    <t xml:space="preserve">Revaluation </t>
  </si>
  <si>
    <t>Revalaution Spread</t>
  </si>
  <si>
    <t>WACC = WACC (Post Tax) / (1-Corp Tax)</t>
  </si>
  <si>
    <t>WACC  (pre tax, nominal)</t>
  </si>
  <si>
    <t>CONVERSION TO PRE_TAX</t>
  </si>
  <si>
    <t>WACC = Rd*(1-Tc)*D/V+Re*E/V</t>
  </si>
  <si>
    <t>WACC Calculation (after tax, nominal)</t>
  </si>
  <si>
    <t>POST TAX WACC CALCULATION</t>
  </si>
  <si>
    <t>WACC INPUT</t>
  </si>
  <si>
    <t>Depreciation (Pre-tax)</t>
  </si>
  <si>
    <t>Operational expenditure (Pre-tax)</t>
  </si>
  <si>
    <t>Capital Charge (Pre tax)</t>
  </si>
  <si>
    <t>Wacc - Pre Tax</t>
  </si>
  <si>
    <t>Asset Base for Charging (Average)</t>
  </si>
  <si>
    <t>Total fixed assets</t>
  </si>
  <si>
    <t>Summary Book Values</t>
  </si>
  <si>
    <t>Total depreciation</t>
  </si>
  <si>
    <t>Revaluation</t>
  </si>
  <si>
    <t>One off costs</t>
  </si>
  <si>
    <t>Total Operational Expenses</t>
  </si>
  <si>
    <t>Other operating costs</t>
  </si>
  <si>
    <t>Rates</t>
  </si>
  <si>
    <t>Energy</t>
  </si>
  <si>
    <t>Cleaning</t>
  </si>
  <si>
    <t>Maintenance</t>
  </si>
  <si>
    <t>Other admin</t>
  </si>
  <si>
    <t>Consulting fees</t>
  </si>
  <si>
    <t>Promotions and airline incentives</t>
  </si>
  <si>
    <t>OPEX</t>
  </si>
  <si>
    <t>Summary - financial statements</t>
  </si>
  <si>
    <t>Forecast   $</t>
  </si>
  <si>
    <t>Bus Plan   $</t>
  </si>
  <si>
    <t>Actual   $</t>
  </si>
  <si>
    <t>Administration of PCS charge</t>
  </si>
  <si>
    <t>Depreciation on:</t>
  </si>
  <si>
    <t>OPEX Allocated</t>
  </si>
  <si>
    <t>Actuals</t>
  </si>
  <si>
    <t>Forecast</t>
  </si>
  <si>
    <t>Christchurch International Airport - Simplfied Pricing Model</t>
  </si>
  <si>
    <t>Actual</t>
  </si>
  <si>
    <t>2.1 Existing asset lifes for straight-line depreciation</t>
  </si>
  <si>
    <t>2.2. Existing asset depreciation working</t>
  </si>
  <si>
    <t>3. Summary: Fixed Asset Base</t>
  </si>
  <si>
    <t>Discount Inputs</t>
  </si>
  <si>
    <t>CPI forecast</t>
  </si>
  <si>
    <t>Unit</t>
  </si>
  <si>
    <t>Full cost of service</t>
  </si>
  <si>
    <t>Full cost of service less PSC contribution</t>
  </si>
  <si>
    <t>Revenue - full cost of service</t>
  </si>
  <si>
    <t>Full Cost of Service Calculation</t>
  </si>
  <si>
    <t>Total departing movements</t>
  </si>
  <si>
    <t>Departing Seats</t>
  </si>
  <si>
    <t>Total departing movements (# of movement)</t>
  </si>
  <si>
    <t>Revenue from fixed charges (in $ million)</t>
  </si>
  <si>
    <t>Revenue owing to variable charges</t>
  </si>
  <si>
    <t>% to jets</t>
  </si>
  <si>
    <t>% to turbo</t>
  </si>
  <si>
    <t>Jet departing MCTOW</t>
  </si>
  <si>
    <t>Turbo departing MCTOW</t>
  </si>
  <si>
    <t>$ per departing MCTOW</t>
  </si>
  <si>
    <t>Fixed PSC charges</t>
  </si>
  <si>
    <t>Fixed revenue</t>
  </si>
  <si>
    <t>Variable charge - jet</t>
  </si>
  <si>
    <t>Variable revenue - jet</t>
  </si>
  <si>
    <t>Variable charge - turbo</t>
  </si>
  <si>
    <t>New charge - fixed + variable</t>
  </si>
  <si>
    <t xml:space="preserve">Colour coding </t>
  </si>
  <si>
    <t>Blue</t>
  </si>
  <si>
    <t>Assumptions</t>
  </si>
  <si>
    <t>Red</t>
  </si>
  <si>
    <t>Numbers linked in from other sheets</t>
  </si>
  <si>
    <t>Black</t>
  </si>
  <si>
    <t>Calculation done in the same sheet</t>
  </si>
  <si>
    <t>Model Map</t>
  </si>
  <si>
    <t>Terminal Domestic - jet</t>
  </si>
  <si>
    <t>Terminal Domestic - turbo prop</t>
  </si>
  <si>
    <t>2. Existing asset depreciation</t>
  </si>
  <si>
    <t>Price option 1 - Prices to meet full cost of service</t>
  </si>
  <si>
    <t>Price option 2 - LRMC pricing path</t>
  </si>
  <si>
    <t>Price option 3 - Proposed pricing path</t>
  </si>
  <si>
    <t>TERMINAL</t>
  </si>
  <si>
    <t>Terminal value</t>
  </si>
  <si>
    <t>CPI escalation</t>
  </si>
  <si>
    <t>No more capex</t>
  </si>
  <si>
    <t>Additional terminal value assumptions</t>
  </si>
  <si>
    <t>Asset base</t>
  </si>
  <si>
    <t>1.1 CAPEX post 2017 (for disclosure purpose only not included in the calcualtion)</t>
  </si>
  <si>
    <t xml:space="preserve"> </t>
  </si>
  <si>
    <t>Volume</t>
  </si>
  <si>
    <t>Airfield related</t>
  </si>
  <si>
    <t>Prices</t>
  </si>
  <si>
    <t>Temrinal related</t>
  </si>
  <si>
    <t>Total Departing seat Dom Jet</t>
  </si>
  <si>
    <t>Total Departing seat Dom Turbo Prop</t>
  </si>
  <si>
    <t>NPV over the initial 5 years</t>
  </si>
  <si>
    <t>Over recovery in the next 15 years</t>
  </si>
  <si>
    <t>NPV over the subsequent 15 years</t>
  </si>
  <si>
    <t>Variable full cotst of service - jet</t>
  </si>
  <si>
    <t>Variable full cotst of service - turbo</t>
  </si>
  <si>
    <t>1. CAPEX and depreciation - FY12-18 only</t>
  </si>
  <si>
    <t>Assumptions and key input statistics for pricing</t>
  </si>
  <si>
    <t>LRMC revenue</t>
  </si>
  <si>
    <t>Revenue less LRMC revenue</t>
  </si>
  <si>
    <t>LRMC Variable revenue - jet</t>
  </si>
  <si>
    <t>LRMC Variable revenue - turbo</t>
  </si>
  <si>
    <t>Total under/over recovery relative to LRMC, FY13-FY17</t>
  </si>
  <si>
    <t>PAX and Departing Seats</t>
  </si>
  <si>
    <t>CPI</t>
  </si>
  <si>
    <t>Int'l term</t>
  </si>
  <si>
    <t>Dom term - Jet</t>
  </si>
  <si>
    <t>Variable revenue - turbo</t>
  </si>
  <si>
    <t>Variable charge split</t>
  </si>
  <si>
    <t>Less revaluations 09-12</t>
  </si>
  <si>
    <t>Less revaluations indexation</t>
  </si>
  <si>
    <t>July-Nov</t>
  </si>
  <si>
    <t>Revenue for July to November ($m)</t>
  </si>
  <si>
    <t>Dec-June</t>
  </si>
  <si>
    <t xml:space="preserve">Total Revenue </t>
  </si>
  <si>
    <t>Total Airfield Revenue for the year (FY13)</t>
  </si>
  <si>
    <t xml:space="preserve">MCTOW Volume - Jet </t>
  </si>
  <si>
    <t>Effective average price / MCTOW</t>
  </si>
  <si>
    <t>Variable charge - jet (effective price)</t>
  </si>
  <si>
    <t>Variable charge - turbo (effective price)</t>
  </si>
  <si>
    <t>Per month</t>
  </si>
  <si>
    <t>Term - dom jet</t>
  </si>
  <si>
    <t>Departing seat charge</t>
  </si>
  <si>
    <t>Departing seats</t>
  </si>
  <si>
    <t>Departing seat charge from 1 December 2012</t>
  </si>
  <si>
    <t>Price</t>
  </si>
  <si>
    <t>Term - dom turbo</t>
  </si>
  <si>
    <t>Dom - Jet</t>
  </si>
  <si>
    <t>Dom - turbo</t>
  </si>
  <si>
    <t>Dom term - turbo prop</t>
  </si>
  <si>
    <t>Cargo departing movement</t>
  </si>
  <si>
    <t>Adjusting FY13 to 7 month only</t>
  </si>
  <si>
    <t>memo items</t>
  </si>
  <si>
    <t>closing</t>
  </si>
  <si>
    <t>valuation</t>
  </si>
  <si>
    <t>Dom - jet</t>
  </si>
  <si>
    <t>Terminal value in FY 23</t>
  </si>
  <si>
    <t>Risk free rate</t>
  </si>
  <si>
    <t>Asset beta</t>
  </si>
  <si>
    <t>Equity beta</t>
  </si>
  <si>
    <t>Gearing</t>
  </si>
  <si>
    <t>TAMRP</t>
  </si>
  <si>
    <t>Cost of debt (pre debt issuance costs)</t>
  </si>
  <si>
    <t>Debt raising costs</t>
  </si>
  <si>
    <t>Cost of debt (including debt issuance costs)</t>
  </si>
  <si>
    <t>Corporate tax</t>
  </si>
  <si>
    <t>Cost of Equity</t>
  </si>
  <si>
    <t>Cost of debt</t>
  </si>
  <si>
    <t>Ind. Tax rate:</t>
  </si>
  <si>
    <t>Military revenue</t>
  </si>
  <si>
    <t>Less military revenue</t>
  </si>
  <si>
    <t>Building block 5 year model</t>
  </si>
  <si>
    <t>Building block 4 year 7 month model</t>
  </si>
  <si>
    <t>Small aircrafts</t>
  </si>
  <si>
    <t>large aircraft</t>
  </si>
  <si>
    <t>Large aircraft movement</t>
  </si>
  <si>
    <t>Small aircraft movement</t>
  </si>
  <si>
    <t>Fixed charges per departure ($) for large aircraft</t>
  </si>
  <si>
    <t>Fixed charges per departure ($) for small aircraft</t>
  </si>
  <si>
    <t>% adault PAX</t>
  </si>
  <si>
    <t>Infant PSC charges</t>
  </si>
  <si>
    <t>% infant paying PAX and forecasted volume</t>
  </si>
  <si>
    <t>Variable - turbo</t>
  </si>
  <si>
    <t>Effective tax rate</t>
  </si>
  <si>
    <t>Variable MCTOW charge - Jet</t>
  </si>
  <si>
    <t>MCTOW charge July 14</t>
  </si>
  <si>
    <t>MCTOW charge June 14</t>
  </si>
  <si>
    <t>Volume per month</t>
  </si>
  <si>
    <t>Jet MCTOW for the year</t>
  </si>
  <si>
    <t>July-Dec</t>
  </si>
  <si>
    <t>MCTOW charge Jan 15</t>
  </si>
  <si>
    <t>Variable MCTOW charge - turbo</t>
  </si>
  <si>
    <t>Variable - Jet</t>
  </si>
  <si>
    <t xml:space="preserve">Airfield </t>
  </si>
  <si>
    <t>June 14 Dom - jet departing seat charges</t>
  </si>
  <si>
    <t>1 July 14 Dom - jet departing seat charges</t>
  </si>
  <si>
    <t>1 Jan 15 Dom - jet departing seat charges</t>
  </si>
  <si>
    <t>June 14 Dom - turbo departing seat charges</t>
  </si>
  <si>
    <t>1 Jan Dom - jet departing seat charges</t>
  </si>
  <si>
    <t>Fixed charges per departure ($) - large aricraft</t>
  </si>
  <si>
    <t>Fixed charges per departure ($) - small aircraft</t>
  </si>
  <si>
    <t>Capital charge</t>
  </si>
  <si>
    <t>Total by pricing segment</t>
  </si>
  <si>
    <t>Operational expenditure</t>
  </si>
  <si>
    <t>Capital charge (Pre-Tax)</t>
  </si>
  <si>
    <t xml:space="preserve">Capital charge (Pre-Tax) </t>
  </si>
  <si>
    <t>FY13</t>
  </si>
  <si>
    <t>FY14</t>
  </si>
  <si>
    <t>FY15</t>
  </si>
  <si>
    <t>FY16</t>
  </si>
  <si>
    <t>FY17</t>
  </si>
  <si>
    <t>CIAL METHOD</t>
  </si>
  <si>
    <t>WACC pre-tax</t>
  </si>
  <si>
    <t>CC METHOD</t>
  </si>
  <si>
    <t>CORRECT GROSS METHOD</t>
  </si>
  <si>
    <t>(7 mths)</t>
  </si>
  <si>
    <t>Building blocks</t>
  </si>
  <si>
    <t>Asset base opening ('000s)</t>
  </si>
  <si>
    <t>Capital charge (pre-tax) ('000s)</t>
  </si>
  <si>
    <t>Depreciation ('000s)</t>
  </si>
  <si>
    <t>Capital charge ('000s)</t>
  </si>
  <si>
    <t>Less revaluations indexation ('000s)</t>
  </si>
  <si>
    <t>Less revaluations 09-12 ('000s)</t>
  </si>
  <si>
    <t>Capital allowance ('000s)</t>
  </si>
  <si>
    <t>CIAL overstatement ('000s)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</si>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</sst>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[Red]\(#,##0\);\-"/>
    <numFmt numFmtId="165" formatCode="0.0%"/>
    <numFmt numFmtId="166" formatCode="#,##0,;[Red]\-#,##0,"/>
    <numFmt numFmtId="167" formatCode="#,##0.0;[Red]\(#,##0.0\);\-"/>
    <numFmt numFmtId="168" formatCode="_-* #,##0.0_-;\-* #,##0.0_-;_-* &quot;-&quot;??_-;_-@_-"/>
    <numFmt numFmtId="169" formatCode="_-* #,##0_-;\-* #,##0_-;_-* &quot;-&quot;??_-;_-@_-"/>
    <numFmt numFmtId="170" formatCode="&quot;$&quot;#,##0.00;[Red]&quot;$&quot;#,##0.00"/>
    <numFmt numFmtId="171" formatCode="#,##0.000;[Red]\(#,##0.000\);\-"/>
    <numFmt numFmtId="172" formatCode="#,##0.00;[Red]\(#,##0.00\);\-"/>
    <numFmt numFmtId="173" formatCode="mmm\ \-\ yy"/>
    <numFmt numFmtId="174" formatCode="_(* #,##0.00_);_(* \(#,##0.00\);_(* &quot;-&quot;??_);_(@_)"/>
    <numFmt numFmtId="175" formatCode="#,##0\ ;\(#,##0\)"/>
    <numFmt numFmtId="176" formatCode="0.0%;[Red]\(0.0%\);\-"/>
    <numFmt numFmtId="177" formatCode="#,##0;\(#,##0\);\-"/>
    <numFmt numFmtId="178" formatCode="0.00000%"/>
    <numFmt numFmtId="179" formatCode="#,##0.0000;[Red]\(#,##0.0000\);\-"/>
    <numFmt numFmtId="180" formatCode="_(* #,##0_);_(* \(#,##0\);_(* &quot;-&quot;??_);_(@_)"/>
    <numFmt numFmtId="181" formatCode="_-* #,##0.000_-;\-* #,##0.000_-;_-* &quot;-&quot;??_-;_-@_-"/>
    <numFmt numFmtId="182" formatCode="_-&quot;$&quot;* #,##0_-;\-&quot;$&quot;* #,##0_-;_-&quot;$&quot;* &quot;-&quot;??_-;_-@_-"/>
    <numFmt numFmtId="183" formatCode="#,##0.0000000000000;[Red]#,##0.0000000000000"/>
    <numFmt numFmtId="184" formatCode="&quot;$&quot;#,##0.0;[Red]\-&quot;$&quot;#,##0.0"/>
    <numFmt numFmtId="185" formatCode="#,##0_);\(#,##0\);&quot;-  &quot;;&quot; &quot;@"/>
    <numFmt numFmtId="186" formatCode="0.00%_);\-0.00%_);&quot;-  &quot;;&quot; &quot;@"/>
    <numFmt numFmtId="187" formatCode="#,##0.0000_);\(#,##0.0000\);&quot;-  &quot;;&quot; &quot;@"/>
    <numFmt numFmtId="188" formatCode="dd\ mmm\ yyyy_);;&quot;-  &quot;;&quot; &quot;@"/>
    <numFmt numFmtId="189" formatCode="dd\ mmm\ yy_);;&quot;-  &quot;;&quot; &quot;@"/>
    <numFmt numFmtId="190" formatCode="#,##0.00_);\(#,##0.00\);&quot;-  &quot;;&quot; &quot;@"/>
    <numFmt numFmtId="191" formatCode="0%_);\-0%_);&quot;-  &quot;;&quot; &quot;@"/>
    <numFmt numFmtId="192" formatCode="#,##0.000_);\(#,##0.000\);&quot;-  &quot;;&quot; &quot;@"/>
    <numFmt numFmtId="193" formatCode="#,##0.0_);\(#,##0.0\);&quot;-  &quot;;&quot; &quot;@"/>
  </numFmts>
  <fonts count="88">
    <font>
      <sz val="10"/>
      <name val="Frutiger 45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Frutiger 45 Light"/>
    </font>
    <font>
      <sz val="10"/>
      <name val="Arial"/>
      <family val="2"/>
    </font>
    <font>
      <sz val="8"/>
      <name val="Tahoma"/>
      <family val="2"/>
    </font>
    <font>
      <sz val="9"/>
      <name val="Futura UBS Bk"/>
      <family val="2"/>
    </font>
    <font>
      <sz val="10"/>
      <name val="MS Sans Serif"/>
      <family val="2"/>
    </font>
    <font>
      <sz val="11"/>
      <name val="CG Times (WN)"/>
    </font>
    <font>
      <b/>
      <sz val="12"/>
      <color indexed="61"/>
      <name val="Arial"/>
      <family val="2"/>
    </font>
    <font>
      <sz val="9"/>
      <name val="Frutiger 45 Light"/>
      <family val="2"/>
    </font>
    <font>
      <b/>
      <sz val="9"/>
      <name val="Frutiger 45 Light"/>
      <family val="2"/>
    </font>
    <font>
      <b/>
      <sz val="12"/>
      <name val="Frutiger 45 Light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0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3"/>
      <name val="Calibri"/>
      <family val="2"/>
      <scheme val="minor"/>
    </font>
    <font>
      <b/>
      <sz val="18"/>
      <color theme="0"/>
      <name val="Verdana"/>
      <family val="2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5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4" tint="0.79998168889431442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4"/>
      <name val="Verdana"/>
      <family val="2"/>
    </font>
    <font>
      <b/>
      <sz val="9"/>
      <color rgb="FF00B05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0"/>
      <name val="Frutiger 45 Light"/>
      <family val="2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8"/>
      <color theme="6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Frutiger 45 Light"/>
    </font>
    <font>
      <sz val="9"/>
      <color theme="3"/>
      <name val="Verdana"/>
      <family val="2"/>
    </font>
    <font>
      <sz val="10"/>
      <color theme="3"/>
      <name val="Frutiger 45 Light"/>
    </font>
    <font>
      <sz val="10"/>
      <color theme="5"/>
      <name val="Frutiger 45 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Frutiger 45 Light"/>
    </font>
    <font>
      <sz val="10"/>
      <color theme="1"/>
      <name val="Frutiger 45 Light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</font>
    <font>
      <sz val="10"/>
      <color theme="3"/>
      <name val="MS Sans Serif"/>
      <family val="2"/>
    </font>
    <font>
      <b/>
      <sz val="9"/>
      <color theme="1"/>
      <name val="Calibri"/>
      <family val="2"/>
    </font>
    <font>
      <sz val="9"/>
      <color theme="3"/>
      <name val="Frutiger 45 Light"/>
    </font>
    <font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Frutiger 45 Light"/>
    </font>
    <font>
      <b/>
      <sz val="14"/>
      <name val="Frutiger 45 Light"/>
    </font>
    <font>
      <b/>
      <sz val="14"/>
      <color theme="3" tint="-0.499984740745262"/>
      <name val="Frutiger 45 Light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B050"/>
      </right>
      <top style="thin">
        <color indexed="64"/>
      </top>
      <bottom style="thin">
        <color rgb="FF00B050"/>
      </bottom>
      <diagonal/>
    </border>
    <border>
      <left/>
      <right/>
      <top style="thin">
        <color indexed="64"/>
      </top>
      <bottom style="thin">
        <color rgb="FF00B050"/>
      </bottom>
      <diagonal/>
    </border>
    <border>
      <left style="thin">
        <color rgb="FF00B050"/>
      </left>
      <right/>
      <top style="thin">
        <color indexed="64"/>
      </top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/>
      <bottom style="mediumDashed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Dash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rgb="FF00B050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rgb="FF00B050"/>
      </right>
      <top style="dotted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185" fontId="0" fillId="0" borderId="0" applyFont="0" applyFill="0" applyBorder="0" applyProtection="0">
      <alignment vertical="top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6" fillId="6" borderId="0" applyNumberFormat="0" applyBorder="0" applyAlignment="0" applyProtection="0"/>
    <xf numFmtId="185" fontId="4" fillId="0" borderId="0" applyFont="0" applyFill="0" applyBorder="0" applyProtection="0">
      <alignment vertical="top"/>
    </xf>
    <xf numFmtId="43" fontId="5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4" borderId="0" applyNumberFormat="0" applyBorder="0" applyAlignment="0" applyProtection="0"/>
    <xf numFmtId="165" fontId="5" fillId="2" borderId="1" applyNumberFormat="0" applyFont="0" applyBorder="0" applyAlignment="0" applyProtection="0"/>
    <xf numFmtId="165" fontId="5" fillId="2" borderId="1" applyNumberFormat="0" applyFont="0" applyBorder="0" applyAlignment="0" applyProtection="0"/>
    <xf numFmtId="0" fontId="7" fillId="2" borderId="0" applyNumberFormat="0" applyFont="0" applyAlignment="0"/>
    <xf numFmtId="0" fontId="5" fillId="0" borderId="0"/>
    <xf numFmtId="0" fontId="8" fillId="0" borderId="0" applyAlignment="0">
      <alignment vertical="top" wrapText="1"/>
      <protection locked="0"/>
    </xf>
    <xf numFmtId="0" fontId="4" fillId="0" borderId="0"/>
    <xf numFmtId="0" fontId="6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5" fillId="0" borderId="0"/>
    <xf numFmtId="2" fontId="9" fillId="0" borderId="0"/>
    <xf numFmtId="186" fontId="4" fillId="0" borderId="0" applyFont="0" applyFill="0" applyBorder="0" applyProtection="0">
      <alignment vertical="top"/>
    </xf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5" fillId="0" borderId="0"/>
    <xf numFmtId="0" fontId="10" fillId="3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4" fillId="0" borderId="0" applyFont="0" applyFill="0" applyBorder="0" applyProtection="0">
      <alignment vertical="top"/>
    </xf>
    <xf numFmtId="188" fontId="4" fillId="0" borderId="0" applyFont="0" applyFill="0" applyBorder="0" applyProtection="0">
      <alignment vertical="top"/>
    </xf>
    <xf numFmtId="189" fontId="4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697">
    <xf numFmtId="185" fontId="0" fillId="0" borderId="0" xfId="0">
      <alignment vertical="top"/>
    </xf>
    <xf numFmtId="185" fontId="0" fillId="0" borderId="0" xfId="0" applyBorder="1">
      <alignment vertical="top"/>
    </xf>
    <xf numFmtId="0" fontId="17" fillId="0" borderId="0" xfId="19" applyFont="1" applyAlignment="1">
      <alignment horizontal="center"/>
    </xf>
    <xf numFmtId="0" fontId="17" fillId="0" borderId="0" xfId="19" applyFont="1" applyBorder="1" applyAlignment="1">
      <alignment horizontal="center"/>
    </xf>
    <xf numFmtId="0" fontId="17" fillId="0" borderId="0" xfId="19" applyFont="1"/>
    <xf numFmtId="0" fontId="18" fillId="0" borderId="0" xfId="19" applyFont="1"/>
    <xf numFmtId="185" fontId="21" fillId="0" borderId="0" xfId="0" applyFont="1" applyFill="1" applyBorder="1" applyAlignment="1"/>
    <xf numFmtId="185" fontId="21" fillId="0" borderId="0" xfId="0" applyFont="1" applyFill="1" applyBorder="1">
      <alignment vertical="top"/>
    </xf>
    <xf numFmtId="0" fontId="21" fillId="0" borderId="0" xfId="29" applyFont="1" applyFill="1" applyBorder="1"/>
    <xf numFmtId="0" fontId="21" fillId="0" borderId="0" xfId="29" applyFont="1" applyFill="1" applyBorder="1" applyAlignment="1">
      <alignment horizontal="left" indent="2"/>
    </xf>
    <xf numFmtId="185" fontId="0" fillId="0" borderId="0" xfId="0" applyFill="1">
      <alignment vertical="top"/>
    </xf>
    <xf numFmtId="166" fontId="21" fillId="0" borderId="0" xfId="0" applyNumberFormat="1" applyFont="1" applyFill="1" applyBorder="1" applyAlignment="1"/>
    <xf numFmtId="166" fontId="21" fillId="0" borderId="0" xfId="0" applyNumberFormat="1" applyFont="1" applyFill="1" applyBorder="1" applyAlignment="1">
      <alignment horizontal="right"/>
    </xf>
    <xf numFmtId="185" fontId="21" fillId="0" borderId="0" xfId="0" applyFont="1" applyFill="1" applyBorder="1" applyAlignment="1">
      <alignment horizontal="center"/>
    </xf>
    <xf numFmtId="185" fontId="21" fillId="0" borderId="0" xfId="0" quotePrefix="1" applyFont="1" applyFill="1" applyBorder="1" applyAlignment="1">
      <alignment horizontal="center"/>
    </xf>
    <xf numFmtId="0" fontId="17" fillId="0" borderId="0" xfId="19" applyFont="1" applyFill="1"/>
    <xf numFmtId="165" fontId="21" fillId="0" borderId="2" xfId="31" applyNumberFormat="1" applyFont="1" applyFill="1" applyBorder="1" applyAlignment="1"/>
    <xf numFmtId="185" fontId="21" fillId="0" borderId="2" xfId="0" applyFont="1" applyFill="1" applyBorder="1" applyAlignment="1">
      <alignment horizontal="center"/>
    </xf>
    <xf numFmtId="185" fontId="21" fillId="0" borderId="2" xfId="0" applyFont="1" applyFill="1" applyBorder="1">
      <alignment vertical="top"/>
    </xf>
    <xf numFmtId="0" fontId="21" fillId="0" borderId="2" xfId="29" applyFont="1" applyFill="1" applyBorder="1"/>
    <xf numFmtId="0" fontId="22" fillId="0" borderId="2" xfId="29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65" fontId="21" fillId="0" borderId="3" xfId="31" applyNumberFormat="1" applyFont="1" applyFill="1" applyBorder="1" applyAlignment="1"/>
    <xf numFmtId="185" fontId="21" fillId="0" borderId="3" xfId="0" applyFont="1" applyFill="1" applyBorder="1" applyAlignment="1">
      <alignment horizontal="center"/>
    </xf>
    <xf numFmtId="185" fontId="21" fillId="0" borderId="3" xfId="0" applyFont="1" applyFill="1" applyBorder="1">
      <alignment vertical="top"/>
    </xf>
    <xf numFmtId="0" fontId="21" fillId="0" borderId="3" xfId="29" applyFont="1" applyFill="1" applyBorder="1"/>
    <xf numFmtId="0" fontId="21" fillId="0" borderId="3" xfId="29" applyFont="1" applyFill="1" applyBorder="1" applyAlignment="1">
      <alignment horizontal="left" indent="1"/>
    </xf>
    <xf numFmtId="164" fontId="21" fillId="0" borderId="0" xfId="0" applyNumberFormat="1" applyFont="1" applyFill="1" applyBorder="1" applyAlignment="1"/>
    <xf numFmtId="165" fontId="21" fillId="0" borderId="0" xfId="31" applyNumberFormat="1" applyFont="1" applyFill="1" applyBorder="1" applyAlignment="1">
      <alignment horizontal="center"/>
    </xf>
    <xf numFmtId="0" fontId="21" fillId="0" borderId="0" xfId="29" applyFont="1" applyFill="1" applyBorder="1" applyAlignment="1">
      <alignment horizontal="left" indent="1"/>
    </xf>
    <xf numFmtId="165" fontId="24" fillId="0" borderId="0" xfId="31" applyNumberFormat="1" applyFont="1" applyFill="1" applyBorder="1" applyAlignment="1"/>
    <xf numFmtId="168" fontId="24" fillId="0" borderId="0" xfId="5" applyNumberFormat="1" applyFont="1" applyFill="1" applyBorder="1" applyAlignment="1"/>
    <xf numFmtId="168" fontId="25" fillId="0" borderId="0" xfId="5" applyNumberFormat="1" applyFont="1" applyFill="1" applyBorder="1" applyAlignment="1"/>
    <xf numFmtId="8" fontId="23" fillId="0" borderId="0" xfId="0" applyNumberFormat="1" applyFont="1" applyFill="1" applyBorder="1" applyAlignment="1"/>
    <xf numFmtId="0" fontId="22" fillId="0" borderId="0" xfId="29" applyFont="1" applyFill="1" applyBorder="1"/>
    <xf numFmtId="165" fontId="21" fillId="0" borderId="0" xfId="31" applyNumberFormat="1" applyFont="1" applyFill="1" applyBorder="1" applyAlignment="1"/>
    <xf numFmtId="0" fontId="26" fillId="0" borderId="0" xfId="26"/>
    <xf numFmtId="0" fontId="26" fillId="0" borderId="0" xfId="26" applyBorder="1"/>
    <xf numFmtId="169" fontId="25" fillId="0" borderId="0" xfId="5" applyNumberFormat="1" applyFont="1" applyFill="1" applyBorder="1" applyAlignment="1"/>
    <xf numFmtId="168" fontId="0" fillId="0" borderId="0" xfId="0" applyNumberFormat="1">
      <alignment vertical="top"/>
    </xf>
    <xf numFmtId="164" fontId="17" fillId="0" borderId="0" xfId="19" applyNumberFormat="1" applyFont="1" applyFill="1" applyAlignment="1">
      <alignment horizontal="right"/>
    </xf>
    <xf numFmtId="185" fontId="22" fillId="0" borderId="0" xfId="0" applyFont="1" applyFill="1" applyBorder="1" applyAlignment="1">
      <alignment horizontal="center"/>
    </xf>
    <xf numFmtId="0" fontId="18" fillId="0" borderId="0" xfId="29" applyFont="1" applyFill="1" applyBorder="1"/>
    <xf numFmtId="165" fontId="22" fillId="0" borderId="0" xfId="31" applyNumberFormat="1" applyFont="1" applyFill="1" applyBorder="1" applyAlignment="1">
      <alignment horizontal="center"/>
    </xf>
    <xf numFmtId="0" fontId="17" fillId="0" borderId="0" xfId="29" applyFont="1" applyFill="1" applyBorder="1"/>
    <xf numFmtId="0" fontId="26" fillId="0" borderId="0" xfId="26" applyFill="1" applyBorder="1"/>
    <xf numFmtId="185" fontId="17" fillId="0" borderId="0" xfId="0" applyFont="1" applyFill="1" applyBorder="1" applyAlignment="1">
      <alignment horizontal="right"/>
    </xf>
    <xf numFmtId="185" fontId="17" fillId="0" borderId="0" xfId="0" applyFont="1" applyFill="1" applyBorder="1" applyAlignment="1">
      <alignment horizontal="center"/>
    </xf>
    <xf numFmtId="185" fontId="17" fillId="0" borderId="0" xfId="0" applyFont="1" applyFill="1" applyBorder="1">
      <alignment vertical="top"/>
    </xf>
    <xf numFmtId="0" fontId="27" fillId="0" borderId="0" xfId="29" applyFont="1" applyFill="1" applyBorder="1"/>
    <xf numFmtId="0" fontId="28" fillId="7" borderId="4" xfId="26" applyFont="1" applyFill="1" applyBorder="1" applyAlignment="1">
      <alignment horizontal="centerContinuous"/>
    </xf>
    <xf numFmtId="0" fontId="29" fillId="7" borderId="4" xfId="29" applyFont="1" applyFill="1" applyBorder="1" applyAlignment="1">
      <alignment horizontal="center"/>
    </xf>
    <xf numFmtId="185" fontId="29" fillId="7" borderId="4" xfId="0" applyFont="1" applyFill="1" applyBorder="1" applyAlignment="1">
      <alignment horizontal="center"/>
    </xf>
    <xf numFmtId="185" fontId="29" fillId="7" borderId="4" xfId="0" applyFont="1" applyFill="1" applyBorder="1">
      <alignment vertical="top"/>
    </xf>
    <xf numFmtId="0" fontId="29" fillId="7" borderId="4" xfId="29" applyFont="1" applyFill="1" applyBorder="1"/>
    <xf numFmtId="0" fontId="29" fillId="7" borderId="4" xfId="19" applyFont="1" applyFill="1" applyBorder="1"/>
    <xf numFmtId="0" fontId="29" fillId="7" borderId="5" xfId="19" applyFont="1" applyFill="1" applyBorder="1"/>
    <xf numFmtId="0" fontId="17" fillId="0" borderId="0" xfId="19" applyFont="1" applyBorder="1"/>
    <xf numFmtId="170" fontId="30" fillId="0" borderId="0" xfId="19" applyNumberFormat="1" applyFont="1" applyFill="1" applyBorder="1" applyAlignment="1">
      <alignment horizontal="right"/>
    </xf>
    <xf numFmtId="164" fontId="17" fillId="0" borderId="0" xfId="19" applyNumberFormat="1" applyFont="1" applyFill="1" applyBorder="1" applyAlignment="1">
      <alignment horizontal="right"/>
    </xf>
    <xf numFmtId="0" fontId="17" fillId="0" borderId="0" xfId="19" applyFont="1" applyFill="1" applyBorder="1"/>
    <xf numFmtId="164" fontId="17" fillId="0" borderId="0" xfId="19" applyNumberFormat="1" applyFont="1" applyFill="1" applyBorder="1"/>
    <xf numFmtId="0" fontId="18" fillId="0" borderId="0" xfId="19" applyFont="1" applyFill="1" applyBorder="1"/>
    <xf numFmtId="0" fontId="17" fillId="0" borderId="0" xfId="19" applyFont="1" applyFill="1" applyBorder="1" applyAlignment="1">
      <alignment horizontal="left" indent="1"/>
    </xf>
    <xf numFmtId="0" fontId="17" fillId="0" borderId="0" xfId="19" applyFont="1" applyFill="1" applyBorder="1" applyAlignment="1">
      <alignment horizontal="left" indent="2"/>
    </xf>
    <xf numFmtId="171" fontId="31" fillId="0" borderId="0" xfId="19" applyNumberFormat="1" applyFont="1" applyFill="1" applyBorder="1" applyAlignment="1">
      <alignment horizontal="right"/>
    </xf>
    <xf numFmtId="164" fontId="17" fillId="0" borderId="0" xfId="19" applyNumberFormat="1" applyFont="1" applyBorder="1" applyAlignment="1"/>
    <xf numFmtId="164" fontId="18" fillId="0" borderId="0" xfId="19" applyNumberFormat="1" applyFont="1" applyBorder="1" applyAlignment="1">
      <alignment horizontal="center"/>
    </xf>
    <xf numFmtId="0" fontId="18" fillId="0" borderId="0" xfId="19" applyFont="1" applyBorder="1"/>
    <xf numFmtId="0" fontId="17" fillId="0" borderId="0" xfId="19" applyFont="1" applyBorder="1" applyAlignment="1">
      <alignment horizontal="left" indent="1"/>
    </xf>
    <xf numFmtId="164" fontId="17" fillId="0" borderId="0" xfId="0" applyNumberFormat="1" applyFont="1" applyFill="1">
      <alignment vertical="top"/>
    </xf>
    <xf numFmtId="0" fontId="17" fillId="0" borderId="0" xfId="19" applyFont="1" applyFill="1" applyBorder="1" applyAlignment="1">
      <alignment horizontal="left" indent="3"/>
    </xf>
    <xf numFmtId="172" fontId="31" fillId="0" borderId="0" xfId="19" applyNumberFormat="1" applyFont="1" applyFill="1" applyBorder="1" applyAlignment="1">
      <alignment horizontal="right"/>
    </xf>
    <xf numFmtId="0" fontId="17" fillId="0" borderId="0" xfId="19" applyFont="1" applyFill="1" applyBorder="1" applyAlignment="1">
      <alignment horizontal="right"/>
    </xf>
    <xf numFmtId="164" fontId="30" fillId="0" borderId="0" xfId="19" applyNumberFormat="1" applyFont="1" applyFill="1" applyBorder="1" applyAlignment="1">
      <alignment horizontal="right"/>
    </xf>
    <xf numFmtId="165" fontId="17" fillId="0" borderId="0" xfId="31" applyNumberFormat="1" applyFont="1" applyFill="1" applyBorder="1" applyAlignment="1">
      <alignment horizontal="right"/>
    </xf>
    <xf numFmtId="0" fontId="17" fillId="0" borderId="0" xfId="29" applyFont="1" applyFill="1" applyBorder="1" applyAlignment="1">
      <alignment horizontal="left" indent="1"/>
    </xf>
    <xf numFmtId="172" fontId="26" fillId="0" borderId="0" xfId="26" applyNumberFormat="1"/>
    <xf numFmtId="164" fontId="31" fillId="0" borderId="0" xfId="19" applyNumberFormat="1" applyFont="1" applyFill="1" applyBorder="1" applyAlignment="1">
      <alignment horizontal="right"/>
    </xf>
    <xf numFmtId="167" fontId="18" fillId="0" borderId="3" xfId="19" applyNumberFormat="1" applyFont="1" applyBorder="1" applyAlignment="1"/>
    <xf numFmtId="164" fontId="18" fillId="0" borderId="3" xfId="19" applyNumberFormat="1" applyFont="1" applyBorder="1" applyAlignment="1">
      <alignment horizontal="center"/>
    </xf>
    <xf numFmtId="0" fontId="17" fillId="0" borderId="3" xfId="19" applyFont="1" applyBorder="1"/>
    <xf numFmtId="0" fontId="18" fillId="0" borderId="3" xfId="19" applyFont="1" applyBorder="1"/>
    <xf numFmtId="0" fontId="17" fillId="0" borderId="6" xfId="19" applyFont="1" applyBorder="1" applyAlignment="1">
      <alignment horizontal="center"/>
    </xf>
    <xf numFmtId="0" fontId="17" fillId="0" borderId="6" xfId="19" applyFont="1" applyBorder="1"/>
    <xf numFmtId="185" fontId="0" fillId="0" borderId="6" xfId="0" applyBorder="1">
      <alignment vertical="top"/>
    </xf>
    <xf numFmtId="164" fontId="17" fillId="0" borderId="0" xfId="19" applyNumberFormat="1" applyFont="1" applyBorder="1" applyAlignment="1">
      <alignment horizontal="right"/>
    </xf>
    <xf numFmtId="164" fontId="17" fillId="0" borderId="0" xfId="19" applyNumberFormat="1" applyFont="1" applyAlignment="1">
      <alignment horizontal="right"/>
    </xf>
    <xf numFmtId="0" fontId="17" fillId="0" borderId="0" xfId="19" applyFont="1" applyAlignment="1">
      <alignment horizontal="left" indent="1"/>
    </xf>
    <xf numFmtId="0" fontId="27" fillId="0" borderId="0" xfId="29" applyFont="1" applyBorder="1"/>
    <xf numFmtId="173" fontId="17" fillId="0" borderId="0" xfId="19" applyNumberFormat="1" applyFont="1" applyFill="1" applyAlignment="1">
      <alignment horizontal="center"/>
    </xf>
    <xf numFmtId="173" fontId="17" fillId="0" borderId="0" xfId="19" applyNumberFormat="1" applyFont="1" applyBorder="1" applyAlignment="1">
      <alignment horizontal="center"/>
    </xf>
    <xf numFmtId="173" fontId="17" fillId="0" borderId="0" xfId="19" applyNumberFormat="1" applyFont="1" applyAlignment="1">
      <alignment horizontal="center"/>
    </xf>
    <xf numFmtId="0" fontId="33" fillId="0" borderId="0" xfId="19" applyFont="1" applyAlignment="1">
      <alignment horizontal="right"/>
    </xf>
    <xf numFmtId="185" fontId="17" fillId="0" borderId="0" xfId="0" applyFont="1" applyAlignment="1">
      <alignment horizontal="center"/>
    </xf>
    <xf numFmtId="0" fontId="17" fillId="7" borderId="0" xfId="19" applyFont="1" applyFill="1"/>
    <xf numFmtId="0" fontId="17" fillId="7" borderId="0" xfId="19" applyFont="1" applyFill="1" applyBorder="1"/>
    <xf numFmtId="0" fontId="34" fillId="7" borderId="0" xfId="19" applyFont="1" applyFill="1"/>
    <xf numFmtId="0" fontId="35" fillId="7" borderId="0" xfId="19" applyFont="1" applyFill="1"/>
    <xf numFmtId="0" fontId="36" fillId="7" borderId="0" xfId="19" applyFont="1" applyFill="1"/>
    <xf numFmtId="185" fontId="17" fillId="0" borderId="0" xfId="0" applyFont="1">
      <alignment vertical="top"/>
    </xf>
    <xf numFmtId="169" fontId="32" fillId="0" borderId="0" xfId="5" applyNumberFormat="1" applyFont="1">
      <alignment vertical="top"/>
    </xf>
    <xf numFmtId="0" fontId="11" fillId="0" borderId="0" xfId="29" applyFont="1"/>
    <xf numFmtId="0" fontId="17" fillId="0" borderId="0" xfId="29" applyFont="1" applyBorder="1"/>
    <xf numFmtId="164" fontId="32" fillId="0" borderId="1" xfId="0" applyNumberFormat="1" applyFont="1" applyFill="1" applyBorder="1" applyAlignment="1"/>
    <xf numFmtId="185" fontId="37" fillId="0" borderId="0" xfId="0" applyFont="1" applyAlignment="1">
      <alignment horizontal="center"/>
    </xf>
    <xf numFmtId="185" fontId="38" fillId="0" borderId="0" xfId="0" applyFont="1" applyAlignment="1">
      <alignment horizontal="center"/>
    </xf>
    <xf numFmtId="186" fontId="17" fillId="0" borderId="0" xfId="31" applyFont="1">
      <alignment vertical="top"/>
    </xf>
    <xf numFmtId="3" fontId="17" fillId="0" borderId="0" xfId="0" applyNumberFormat="1" applyFont="1">
      <alignment vertical="top"/>
    </xf>
    <xf numFmtId="9" fontId="17" fillId="0" borderId="0" xfId="31" applyNumberFormat="1" applyFont="1">
      <alignment vertical="top"/>
    </xf>
    <xf numFmtId="3" fontId="32" fillId="0" borderId="0" xfId="0" applyNumberFormat="1" applyFont="1">
      <alignment vertical="top"/>
    </xf>
    <xf numFmtId="185" fontId="40" fillId="0" borderId="0" xfId="0" applyFont="1">
      <alignment vertical="top"/>
    </xf>
    <xf numFmtId="10" fontId="40" fillId="0" borderId="0" xfId="31" applyNumberFormat="1" applyFont="1">
      <alignment vertical="top"/>
    </xf>
    <xf numFmtId="3" fontId="30" fillId="0" borderId="0" xfId="0" applyNumberFormat="1" applyFont="1">
      <alignment vertical="top"/>
    </xf>
    <xf numFmtId="165" fontId="30" fillId="0" borderId="1" xfId="0" applyNumberFormat="1" applyFont="1" applyFill="1" applyBorder="1" applyAlignment="1">
      <alignment horizontal="center"/>
    </xf>
    <xf numFmtId="185" fontId="0" fillId="0" borderId="0" xfId="0" applyFont="1">
      <alignment vertical="top"/>
    </xf>
    <xf numFmtId="2" fontId="32" fillId="0" borderId="1" xfId="0" applyNumberFormat="1" applyFont="1" applyFill="1" applyBorder="1" applyAlignment="1">
      <alignment horizontal="center"/>
    </xf>
    <xf numFmtId="2" fontId="17" fillId="0" borderId="0" xfId="0" applyNumberFormat="1" applyFont="1" applyFill="1">
      <alignment vertical="top"/>
    </xf>
    <xf numFmtId="185" fontId="17" fillId="0" borderId="0" xfId="0" applyFont="1" applyFill="1">
      <alignment vertical="top"/>
    </xf>
    <xf numFmtId="165" fontId="32" fillId="0" borderId="1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11" fillId="0" borderId="0" xfId="29" applyFont="1" applyBorder="1"/>
    <xf numFmtId="185" fontId="41" fillId="0" borderId="0" xfId="0" applyFont="1">
      <alignment vertical="top"/>
    </xf>
    <xf numFmtId="17" fontId="17" fillId="0" borderId="0" xfId="0" applyNumberFormat="1" applyFont="1" applyAlignment="1">
      <alignment horizontal="center"/>
    </xf>
    <xf numFmtId="185" fontId="18" fillId="0" borderId="0" xfId="0" applyFont="1" applyAlignment="1">
      <alignment horizontal="center"/>
    </xf>
    <xf numFmtId="185" fontId="33" fillId="0" borderId="0" xfId="0" applyFont="1">
      <alignment vertical="top"/>
    </xf>
    <xf numFmtId="185" fontId="33" fillId="0" borderId="0" xfId="0" applyFont="1" applyAlignment="1">
      <alignment horizontal="right"/>
    </xf>
    <xf numFmtId="185" fontId="42" fillId="0" borderId="0" xfId="0" applyFont="1">
      <alignment vertical="top"/>
    </xf>
    <xf numFmtId="185" fontId="41" fillId="8" borderId="0" xfId="0" applyFont="1" applyFill="1">
      <alignment vertical="top"/>
    </xf>
    <xf numFmtId="185" fontId="17" fillId="7" borderId="0" xfId="0" applyFont="1" applyFill="1">
      <alignment vertical="top"/>
    </xf>
    <xf numFmtId="185" fontId="34" fillId="7" borderId="0" xfId="0" applyFont="1" applyFill="1">
      <alignment vertical="top"/>
    </xf>
    <xf numFmtId="185" fontId="35" fillId="7" borderId="0" xfId="0" applyFont="1" applyFill="1">
      <alignment vertical="top"/>
    </xf>
    <xf numFmtId="185" fontId="36" fillId="7" borderId="0" xfId="0" applyFont="1" applyFill="1">
      <alignment vertical="top"/>
    </xf>
    <xf numFmtId="6" fontId="0" fillId="0" borderId="0" xfId="0" applyNumberFormat="1">
      <alignment vertical="top"/>
    </xf>
    <xf numFmtId="0" fontId="43" fillId="0" borderId="0" xfId="29" applyFont="1" applyBorder="1"/>
    <xf numFmtId="165" fontId="17" fillId="0" borderId="0" xfId="0" applyNumberFormat="1" applyFont="1" applyAlignment="1">
      <alignment horizontal="center"/>
    </xf>
    <xf numFmtId="165" fontId="32" fillId="0" borderId="1" xfId="4" applyNumberFormat="1" applyFont="1" applyFill="1" applyBorder="1" applyAlignment="1">
      <alignment horizontal="center"/>
    </xf>
    <xf numFmtId="0" fontId="44" fillId="0" borderId="7" xfId="1" applyFont="1" applyFill="1" applyBorder="1"/>
    <xf numFmtId="0" fontId="44" fillId="0" borderId="2" xfId="1" applyFont="1" applyFill="1" applyBorder="1"/>
    <xf numFmtId="43" fontId="17" fillId="0" borderId="8" xfId="6" applyFont="1" applyBorder="1"/>
    <xf numFmtId="0" fontId="44" fillId="0" borderId="7" xfId="4" applyFont="1" applyFill="1" applyBorder="1"/>
    <xf numFmtId="0" fontId="44" fillId="0" borderId="2" xfId="4" applyFont="1" applyFill="1" applyBorder="1"/>
    <xf numFmtId="0" fontId="44" fillId="0" borderId="2" xfId="1" applyFont="1" applyFill="1" applyBorder="1" applyAlignment="1">
      <alignment horizontal="center"/>
    </xf>
    <xf numFmtId="185" fontId="45" fillId="0" borderId="0" xfId="0" applyFont="1" applyBorder="1" applyAlignment="1">
      <alignment horizontal="left"/>
    </xf>
    <xf numFmtId="185" fontId="45" fillId="0" borderId="7" xfId="0" applyFont="1" applyBorder="1" applyAlignment="1">
      <alignment horizontal="centerContinuous"/>
    </xf>
    <xf numFmtId="185" fontId="17" fillId="0" borderId="7" xfId="0" applyFont="1" applyBorder="1" applyAlignment="1">
      <alignment horizontal="centerContinuous"/>
    </xf>
    <xf numFmtId="185" fontId="45" fillId="0" borderId="8" xfId="0" applyFont="1" applyBorder="1" applyAlignment="1">
      <alignment horizontal="centerContinuous"/>
    </xf>
    <xf numFmtId="43" fontId="17" fillId="0" borderId="8" xfId="6" applyFont="1" applyBorder="1" applyAlignment="1">
      <alignment horizontal="left"/>
    </xf>
    <xf numFmtId="0" fontId="46" fillId="7" borderId="0" xfId="29" applyFont="1" applyFill="1" applyBorder="1"/>
    <xf numFmtId="185" fontId="18" fillId="0" borderId="0" xfId="0" applyFont="1">
      <alignment vertical="top"/>
    </xf>
    <xf numFmtId="185" fontId="20" fillId="0" borderId="0" xfId="0" applyFont="1">
      <alignment vertical="top"/>
    </xf>
    <xf numFmtId="185" fontId="41" fillId="7" borderId="0" xfId="0" applyFont="1" applyFill="1">
      <alignment vertical="top"/>
    </xf>
    <xf numFmtId="164" fontId="17" fillId="0" borderId="0" xfId="0" applyNumberFormat="1" applyFont="1">
      <alignment vertical="top"/>
    </xf>
    <xf numFmtId="185" fontId="43" fillId="0" borderId="0" xfId="0" applyFont="1">
      <alignment vertical="top"/>
    </xf>
    <xf numFmtId="164" fontId="18" fillId="0" borderId="2" xfId="0" applyNumberFormat="1" applyFont="1" applyBorder="1">
      <alignment vertical="top"/>
    </xf>
    <xf numFmtId="185" fontId="18" fillId="0" borderId="2" xfId="0" applyFont="1" applyBorder="1">
      <alignment vertical="top"/>
    </xf>
    <xf numFmtId="185" fontId="47" fillId="0" borderId="2" xfId="0" applyFont="1" applyBorder="1" applyAlignment="1">
      <alignment horizontal="center"/>
    </xf>
    <xf numFmtId="0" fontId="12" fillId="0" borderId="2" xfId="29" applyFont="1" applyBorder="1"/>
    <xf numFmtId="164" fontId="32" fillId="0" borderId="1" xfId="13" applyNumberFormat="1" applyFont="1" applyFill="1" applyBorder="1"/>
    <xf numFmtId="185" fontId="48" fillId="0" borderId="0" xfId="0" applyFont="1" applyAlignment="1">
      <alignment horizontal="center"/>
    </xf>
    <xf numFmtId="185" fontId="34" fillId="0" borderId="0" xfId="0" applyFont="1" applyFill="1">
      <alignment vertical="top"/>
    </xf>
    <xf numFmtId="0" fontId="49" fillId="7" borderId="0" xfId="29" applyFont="1" applyFill="1" applyBorder="1"/>
    <xf numFmtId="0" fontId="19" fillId="7" borderId="0" xfId="29" applyFont="1" applyFill="1" applyBorder="1"/>
    <xf numFmtId="0" fontId="49" fillId="7" borderId="0" xfId="29" applyFont="1" applyFill="1"/>
    <xf numFmtId="164" fontId="17" fillId="0" borderId="0" xfId="0" applyNumberFormat="1" applyFont="1" applyBorder="1">
      <alignment vertical="top"/>
    </xf>
    <xf numFmtId="185" fontId="17" fillId="0" borderId="0" xfId="0" applyFont="1" applyBorder="1">
      <alignment vertical="top"/>
    </xf>
    <xf numFmtId="164" fontId="17" fillId="0" borderId="2" xfId="0" applyNumberFormat="1" applyFont="1" applyBorder="1">
      <alignment vertical="top"/>
    </xf>
    <xf numFmtId="185" fontId="17" fillId="0" borderId="2" xfId="0" applyFont="1" applyBorder="1">
      <alignment vertical="top"/>
    </xf>
    <xf numFmtId="185" fontId="38" fillId="0" borderId="2" xfId="0" applyFont="1" applyBorder="1" applyAlignment="1">
      <alignment horizontal="center"/>
    </xf>
    <xf numFmtId="185" fontId="18" fillId="0" borderId="2" xfId="0" applyFont="1" applyBorder="1" applyAlignment="1">
      <alignment horizontal="left"/>
    </xf>
    <xf numFmtId="0" fontId="18" fillId="0" borderId="0" xfId="29" applyFont="1" applyBorder="1"/>
    <xf numFmtId="164" fontId="17" fillId="0" borderId="13" xfId="0" applyNumberFormat="1" applyFont="1" applyBorder="1">
      <alignment vertical="top"/>
    </xf>
    <xf numFmtId="185" fontId="17" fillId="0" borderId="14" xfId="0" applyFont="1" applyBorder="1">
      <alignment vertical="top"/>
    </xf>
    <xf numFmtId="185" fontId="38" fillId="0" borderId="15" xfId="0" applyFont="1" applyBorder="1" applyAlignment="1">
      <alignment horizontal="center"/>
    </xf>
    <xf numFmtId="164" fontId="17" fillId="0" borderId="16" xfId="0" applyNumberFormat="1" applyFont="1" applyBorder="1">
      <alignment vertical="top"/>
    </xf>
    <xf numFmtId="0" fontId="11" fillId="0" borderId="17" xfId="29" applyFont="1" applyBorder="1"/>
    <xf numFmtId="185" fontId="17" fillId="0" borderId="16" xfId="0" applyFont="1" applyBorder="1">
      <alignment vertical="top"/>
    </xf>
    <xf numFmtId="164" fontId="17" fillId="0" borderId="18" xfId="0" applyNumberFormat="1" applyFont="1" applyBorder="1">
      <alignment vertical="top"/>
    </xf>
    <xf numFmtId="185" fontId="38" fillId="0" borderId="19" xfId="0" applyFont="1" applyBorder="1" applyAlignment="1">
      <alignment horizontal="center"/>
    </xf>
    <xf numFmtId="185" fontId="17" fillId="0" borderId="17" xfId="0" applyFont="1" applyBorder="1">
      <alignment vertical="top"/>
    </xf>
    <xf numFmtId="176" fontId="30" fillId="0" borderId="1" xfId="4" applyNumberFormat="1" applyFont="1" applyFill="1" applyBorder="1" applyAlignment="1">
      <alignment horizontal="center"/>
    </xf>
    <xf numFmtId="176" fontId="32" fillId="0" borderId="1" xfId="4" applyNumberFormat="1" applyFont="1" applyFill="1" applyBorder="1" applyAlignment="1">
      <alignment horizontal="center"/>
    </xf>
    <xf numFmtId="176" fontId="30" fillId="0" borderId="1" xfId="1" applyNumberFormat="1" applyFont="1" applyFill="1" applyBorder="1" applyAlignment="1">
      <alignment horizontal="center"/>
    </xf>
    <xf numFmtId="164" fontId="41" fillId="0" borderId="0" xfId="0" applyNumberFormat="1" applyFont="1" applyBorder="1" applyAlignment="1">
      <alignment horizontal="center"/>
    </xf>
    <xf numFmtId="0" fontId="11" fillId="0" borderId="16" xfId="29" applyFont="1" applyBorder="1"/>
    <xf numFmtId="0" fontId="50" fillId="0" borderId="0" xfId="29" applyFont="1" applyBorder="1"/>
    <xf numFmtId="0" fontId="11" fillId="0" borderId="20" xfId="29" applyFont="1" applyBorder="1"/>
    <xf numFmtId="0" fontId="11" fillId="0" borderId="21" xfId="29" applyFont="1" applyBorder="1"/>
    <xf numFmtId="0" fontId="11" fillId="0" borderId="22" xfId="29" applyFont="1" applyBorder="1"/>
    <xf numFmtId="164" fontId="51" fillId="0" borderId="1" xfId="13" applyNumberFormat="1" applyFont="1" applyFill="1" applyBorder="1"/>
    <xf numFmtId="10" fontId="17" fillId="0" borderId="0" xfId="31" applyNumberFormat="1" applyFont="1">
      <alignment vertical="top"/>
    </xf>
    <xf numFmtId="185" fontId="41" fillId="0" borderId="23" xfId="0" applyFont="1" applyBorder="1">
      <alignment vertical="top"/>
    </xf>
    <xf numFmtId="164" fontId="31" fillId="0" borderId="0" xfId="0" applyNumberFormat="1" applyFont="1" applyBorder="1">
      <alignment vertical="top"/>
    </xf>
    <xf numFmtId="0" fontId="52" fillId="0" borderId="0" xfId="29" applyFont="1" applyBorder="1"/>
    <xf numFmtId="0" fontId="14" fillId="0" borderId="0" xfId="13" applyFont="1" applyFill="1" applyAlignment="1">
      <alignment horizontal="center"/>
    </xf>
    <xf numFmtId="17" fontId="14" fillId="0" borderId="0" xfId="13" applyNumberFormat="1" applyFont="1" applyFill="1" applyAlignment="1">
      <alignment horizontal="center"/>
    </xf>
    <xf numFmtId="185" fontId="17" fillId="0" borderId="0" xfId="0" applyFont="1" applyAlignment="1">
      <alignment horizontal="left"/>
    </xf>
    <xf numFmtId="164" fontId="17" fillId="0" borderId="0" xfId="0" applyNumberFormat="1" applyFont="1" applyFill="1" applyBorder="1">
      <alignment vertical="top"/>
    </xf>
    <xf numFmtId="164" fontId="17" fillId="0" borderId="3" xfId="0" applyNumberFormat="1" applyFont="1" applyBorder="1">
      <alignment vertical="top"/>
    </xf>
    <xf numFmtId="164" fontId="17" fillId="0" borderId="3" xfId="0" applyNumberFormat="1" applyFont="1" applyFill="1" applyBorder="1">
      <alignment vertical="top"/>
    </xf>
    <xf numFmtId="185" fontId="17" fillId="0" borderId="3" xfId="0" applyFont="1" applyBorder="1">
      <alignment vertical="top"/>
    </xf>
    <xf numFmtId="0" fontId="11" fillId="0" borderId="3" xfId="29" applyFont="1" applyBorder="1"/>
    <xf numFmtId="164" fontId="32" fillId="0" borderId="9" xfId="0" applyNumberFormat="1" applyFont="1" applyFill="1" applyBorder="1">
      <alignment vertical="top"/>
    </xf>
    <xf numFmtId="164" fontId="32" fillId="0" borderId="0" xfId="0" applyNumberFormat="1" applyFont="1" applyFill="1" applyBorder="1">
      <alignment vertical="top"/>
    </xf>
    <xf numFmtId="164" fontId="20" fillId="0" borderId="0" xfId="0" applyNumberFormat="1" applyFont="1" applyFill="1" applyBorder="1">
      <alignment vertical="top"/>
    </xf>
    <xf numFmtId="185" fontId="53" fillId="0" borderId="0" xfId="0" applyFont="1" applyBorder="1">
      <alignment vertical="top"/>
    </xf>
    <xf numFmtId="185" fontId="54" fillId="0" borderId="0" xfId="0" applyFont="1" applyBorder="1">
      <alignment vertical="top"/>
    </xf>
    <xf numFmtId="164" fontId="20" fillId="0" borderId="0" xfId="0" applyNumberFormat="1" applyFont="1" applyBorder="1">
      <alignment vertical="top"/>
    </xf>
    <xf numFmtId="185" fontId="17" fillId="0" borderId="9" xfId="0" applyFont="1" applyFill="1" applyBorder="1">
      <alignment vertical="top"/>
    </xf>
    <xf numFmtId="185" fontId="18" fillId="0" borderId="0" xfId="0" applyFont="1" applyBorder="1">
      <alignment vertical="top"/>
    </xf>
    <xf numFmtId="185" fontId="55" fillId="9" borderId="7" xfId="0" applyFont="1" applyFill="1" applyBorder="1" applyAlignment="1">
      <alignment horizontal="centerContinuous"/>
    </xf>
    <xf numFmtId="185" fontId="55" fillId="9" borderId="2" xfId="0" applyFont="1" applyFill="1" applyBorder="1" applyAlignment="1">
      <alignment horizontal="centerContinuous"/>
    </xf>
    <xf numFmtId="0" fontId="13" fillId="9" borderId="8" xfId="29" applyFont="1" applyFill="1" applyBorder="1" applyAlignment="1">
      <alignment horizontal="centerContinuous"/>
    </xf>
    <xf numFmtId="185" fontId="17" fillId="0" borderId="0" xfId="0" applyFont="1" applyBorder="1" applyAlignment="1">
      <alignment horizontal="left"/>
    </xf>
    <xf numFmtId="164" fontId="31" fillId="0" borderId="0" xfId="0" applyNumberFormat="1" applyFont="1" applyFill="1" applyBorder="1">
      <alignment vertical="top"/>
    </xf>
    <xf numFmtId="185" fontId="17" fillId="0" borderId="0" xfId="0" applyFont="1" applyAlignment="1">
      <alignment wrapText="1"/>
    </xf>
    <xf numFmtId="14" fontId="17" fillId="0" borderId="0" xfId="0" applyNumberFormat="1" applyFont="1" applyAlignment="1">
      <alignment horizontal="left" wrapText="1"/>
    </xf>
    <xf numFmtId="17" fontId="17" fillId="0" borderId="6" xfId="0" applyNumberFormat="1" applyFont="1" applyBorder="1" applyAlignment="1">
      <alignment horizontal="center"/>
    </xf>
    <xf numFmtId="17" fontId="17" fillId="0" borderId="11" xfId="0" applyNumberFormat="1" applyFont="1" applyFill="1" applyBorder="1" applyAlignment="1">
      <alignment horizontal="center"/>
    </xf>
    <xf numFmtId="17" fontId="17" fillId="0" borderId="6" xfId="0" applyNumberFormat="1" applyFont="1" applyFill="1" applyBorder="1" applyAlignment="1">
      <alignment horizontal="center"/>
    </xf>
    <xf numFmtId="185" fontId="17" fillId="0" borderId="6" xfId="0" applyFont="1" applyBorder="1">
      <alignment vertical="top"/>
    </xf>
    <xf numFmtId="17" fontId="17" fillId="0" borderId="9" xfId="0" applyNumberFormat="1" applyFont="1" applyFill="1" applyBorder="1" applyAlignment="1">
      <alignment horizontal="center"/>
    </xf>
    <xf numFmtId="17" fontId="17" fillId="0" borderId="0" xfId="0" applyNumberFormat="1" applyFont="1" applyFill="1" applyAlignment="1">
      <alignment horizontal="center"/>
    </xf>
    <xf numFmtId="185" fontId="57" fillId="0" borderId="0" xfId="0" applyFont="1" applyAlignment="1">
      <alignment horizontal="left"/>
    </xf>
    <xf numFmtId="185" fontId="18" fillId="0" borderId="0" xfId="0" applyFont="1" applyFill="1">
      <alignment vertical="top"/>
    </xf>
    <xf numFmtId="185" fontId="0" fillId="0" borderId="9" xfId="0" applyBorder="1">
      <alignment vertical="top"/>
    </xf>
    <xf numFmtId="185" fontId="17" fillId="0" borderId="9" xfId="0" applyFont="1" applyBorder="1">
      <alignment vertical="top"/>
    </xf>
    <xf numFmtId="164" fontId="17" fillId="0" borderId="9" xfId="0" applyNumberFormat="1" applyFont="1" applyBorder="1">
      <alignment vertical="top"/>
    </xf>
    <xf numFmtId="164" fontId="20" fillId="0" borderId="9" xfId="0" applyNumberFormat="1" applyFont="1" applyBorder="1">
      <alignment vertical="top"/>
    </xf>
    <xf numFmtId="164" fontId="58" fillId="9" borderId="1" xfId="0" applyNumberFormat="1" applyFont="1" applyFill="1" applyBorder="1">
      <alignment vertical="top"/>
    </xf>
    <xf numFmtId="164" fontId="58" fillId="9" borderId="7" xfId="0" applyNumberFormat="1" applyFont="1" applyFill="1" applyBorder="1">
      <alignment vertical="top"/>
    </xf>
    <xf numFmtId="185" fontId="17" fillId="0" borderId="0" xfId="0" applyFont="1" applyBorder="1" applyAlignment="1">
      <alignment wrapText="1"/>
    </xf>
    <xf numFmtId="185" fontId="17" fillId="0" borderId="0" xfId="0" applyFont="1" applyBorder="1" applyAlignment="1">
      <alignment horizontal="left" wrapText="1"/>
    </xf>
    <xf numFmtId="164" fontId="56" fillId="0" borderId="9" xfId="0" applyNumberFormat="1" applyFont="1" applyBorder="1" applyAlignment="1">
      <alignment horizontal="left"/>
    </xf>
    <xf numFmtId="164" fontId="56" fillId="0" borderId="0" xfId="0" applyNumberFormat="1" applyFont="1" applyBorder="1" applyAlignment="1">
      <alignment horizontal="right"/>
    </xf>
    <xf numFmtId="17" fontId="17" fillId="0" borderId="9" xfId="0" applyNumberFormat="1" applyFont="1" applyBorder="1" applyAlignment="1">
      <alignment horizontal="center"/>
    </xf>
    <xf numFmtId="17" fontId="17" fillId="0" borderId="11" xfId="0" applyNumberFormat="1" applyFont="1" applyBorder="1" applyAlignment="1">
      <alignment horizontal="center"/>
    </xf>
    <xf numFmtId="185" fontId="17" fillId="7" borderId="9" xfId="0" applyFont="1" applyFill="1" applyBorder="1">
      <alignment vertical="top"/>
    </xf>
    <xf numFmtId="185" fontId="0" fillId="0" borderId="9" xfId="0" applyFill="1" applyBorder="1" applyAlignment="1"/>
    <xf numFmtId="177" fontId="32" fillId="0" borderId="0" xfId="0" applyNumberFormat="1" applyFont="1" applyBorder="1" applyAlignment="1"/>
    <xf numFmtId="185" fontId="0" fillId="0" borderId="0" xfId="0" applyAlignment="1">
      <alignment horizontal="left" indent="1"/>
    </xf>
    <xf numFmtId="185" fontId="0" fillId="0" borderId="3" xfId="0" applyFill="1" applyBorder="1">
      <alignment vertical="top"/>
    </xf>
    <xf numFmtId="185" fontId="0" fillId="0" borderId="3" xfId="0" applyBorder="1">
      <alignment vertical="top"/>
    </xf>
    <xf numFmtId="164" fontId="17" fillId="0" borderId="9" xfId="0" applyNumberFormat="1" applyFont="1" applyFill="1" applyBorder="1" applyAlignment="1"/>
    <xf numFmtId="165" fontId="31" fillId="0" borderId="0" xfId="31" applyNumberFormat="1" applyFont="1" applyBorder="1">
      <alignment vertical="top"/>
    </xf>
    <xf numFmtId="169" fontId="31" fillId="0" borderId="0" xfId="5" applyNumberFormat="1" applyFont="1" applyBorder="1">
      <alignment vertical="top"/>
    </xf>
    <xf numFmtId="185" fontId="17" fillId="0" borderId="0" xfId="0" applyFont="1" applyBorder="1" applyAlignment="1">
      <alignment horizontal="left" indent="1"/>
    </xf>
    <xf numFmtId="185" fontId="17" fillId="0" borderId="9" xfId="0" applyFont="1" applyFill="1" applyBorder="1" applyAlignment="1"/>
    <xf numFmtId="17" fontId="17" fillId="0" borderId="9" xfId="0" applyNumberFormat="1" applyFont="1" applyFill="1" applyBorder="1" applyAlignment="1"/>
    <xf numFmtId="185" fontId="17" fillId="0" borderId="0" xfId="0" applyFont="1" applyAlignment="1">
      <alignment horizontal="centerContinuous"/>
    </xf>
    <xf numFmtId="185" fontId="0" fillId="0" borderId="9" xfId="0" applyBorder="1" applyAlignment="1"/>
    <xf numFmtId="185" fontId="17" fillId="7" borderId="9" xfId="0" applyFont="1" applyFill="1" applyBorder="1" applyAlignment="1"/>
    <xf numFmtId="178" fontId="17" fillId="0" borderId="0" xfId="0" applyNumberFormat="1" applyFont="1">
      <alignment vertical="top"/>
    </xf>
    <xf numFmtId="165" fontId="18" fillId="0" borderId="2" xfId="31" applyNumberFormat="1" applyFont="1" applyFill="1" applyBorder="1">
      <alignment vertical="top"/>
    </xf>
    <xf numFmtId="175" fontId="17" fillId="0" borderId="0" xfId="35" applyFont="1"/>
    <xf numFmtId="175" fontId="17" fillId="0" borderId="0" xfId="35" quotePrefix="1" applyFont="1" applyAlignment="1">
      <alignment horizontal="left"/>
    </xf>
    <xf numFmtId="175" fontId="18" fillId="0" borderId="0" xfId="35" quotePrefix="1" applyFont="1" applyAlignment="1">
      <alignment horizontal="left"/>
    </xf>
    <xf numFmtId="175" fontId="17" fillId="0" borderId="12" xfId="35" applyFont="1" applyBorder="1"/>
    <xf numFmtId="165" fontId="18" fillId="0" borderId="0" xfId="31" applyNumberFormat="1" applyFont="1" applyFill="1" applyBorder="1">
      <alignment vertical="top"/>
    </xf>
    <xf numFmtId="175" fontId="17" fillId="0" borderId="0" xfId="35" applyFont="1" applyFill="1"/>
    <xf numFmtId="175" fontId="17" fillId="0" borderId="0" xfId="35" quotePrefix="1" applyFont="1" applyFill="1" applyAlignment="1">
      <alignment horizontal="left"/>
    </xf>
    <xf numFmtId="185" fontId="0" fillId="0" borderId="2" xfId="0" applyBorder="1">
      <alignment vertical="top"/>
    </xf>
    <xf numFmtId="0" fontId="17" fillId="0" borderId="2" xfId="29" applyFont="1" applyBorder="1"/>
    <xf numFmtId="164" fontId="43" fillId="0" borderId="0" xfId="0" applyNumberFormat="1" applyFont="1">
      <alignment vertical="top"/>
    </xf>
    <xf numFmtId="165" fontId="31" fillId="0" borderId="0" xfId="31" applyNumberFormat="1" applyFont="1">
      <alignment vertical="top"/>
    </xf>
    <xf numFmtId="165" fontId="17" fillId="0" borderId="0" xfId="31" applyNumberFormat="1" applyFont="1">
      <alignment vertical="top"/>
    </xf>
    <xf numFmtId="0" fontId="11" fillId="0" borderId="6" xfId="29" applyFont="1" applyBorder="1"/>
    <xf numFmtId="164" fontId="17" fillId="0" borderId="6" xfId="0" applyNumberFormat="1" applyFont="1" applyBorder="1">
      <alignment vertical="top"/>
    </xf>
    <xf numFmtId="164" fontId="31" fillId="0" borderId="0" xfId="0" applyNumberFormat="1" applyFont="1">
      <alignment vertical="top"/>
    </xf>
    <xf numFmtId="185" fontId="31" fillId="0" borderId="0" xfId="0" applyFont="1">
      <alignment vertical="top"/>
    </xf>
    <xf numFmtId="164" fontId="31" fillId="0" borderId="0" xfId="0" applyNumberFormat="1" applyFont="1" applyFill="1">
      <alignment vertical="top"/>
    </xf>
    <xf numFmtId="185" fontId="38" fillId="0" borderId="0" xfId="0" applyFont="1" applyFill="1" applyAlignment="1">
      <alignment horizontal="center"/>
    </xf>
    <xf numFmtId="8" fontId="17" fillId="0" borderId="0" xfId="0" applyNumberFormat="1" applyFont="1">
      <alignment vertical="top"/>
    </xf>
    <xf numFmtId="185" fontId="48" fillId="0" borderId="0" xfId="0" applyFont="1" applyAlignment="1">
      <alignment horizontal="right"/>
    </xf>
    <xf numFmtId="0" fontId="57" fillId="0" borderId="0" xfId="29" applyFont="1" applyFill="1" applyBorder="1"/>
    <xf numFmtId="185" fontId="0" fillId="0" borderId="0" xfId="0" applyAlignment="1">
      <alignment horizontal="right"/>
    </xf>
    <xf numFmtId="165" fontId="31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85" fontId="17" fillId="0" borderId="0" xfId="0" applyFont="1" applyAlignment="1">
      <alignment horizontal="right"/>
    </xf>
    <xf numFmtId="0" fontId="11" fillId="0" borderId="0" xfId="29" applyFont="1" applyAlignment="1">
      <alignment horizontal="right"/>
    </xf>
    <xf numFmtId="0" fontId="17" fillId="0" borderId="0" xfId="29" applyFont="1" applyBorder="1" applyAlignment="1">
      <alignment horizontal="left"/>
    </xf>
    <xf numFmtId="185" fontId="31" fillId="0" borderId="6" xfId="0" applyFont="1" applyBorder="1">
      <alignment vertical="top"/>
    </xf>
    <xf numFmtId="164" fontId="31" fillId="0" borderId="6" xfId="0" applyNumberFormat="1" applyFont="1" applyBorder="1">
      <alignment vertical="top"/>
    </xf>
    <xf numFmtId="0" fontId="61" fillId="0" borderId="0" xfId="29" applyFont="1" applyFill="1" applyBorder="1"/>
    <xf numFmtId="164" fontId="0" fillId="0" borderId="0" xfId="0" applyNumberFormat="1">
      <alignment vertical="top"/>
    </xf>
    <xf numFmtId="179" fontId="17" fillId="0" borderId="0" xfId="0" applyNumberFormat="1" applyFont="1">
      <alignment vertical="top"/>
    </xf>
    <xf numFmtId="164" fontId="0" fillId="0" borderId="0" xfId="0" applyNumberFormat="1" applyBorder="1">
      <alignment vertical="top"/>
    </xf>
    <xf numFmtId="164" fontId="30" fillId="0" borderId="0" xfId="0" applyNumberFormat="1" applyFont="1" applyBorder="1">
      <alignment vertical="top"/>
    </xf>
    <xf numFmtId="44" fontId="17" fillId="0" borderId="0" xfId="0" applyNumberFormat="1" applyFont="1" applyFill="1">
      <alignment vertical="top"/>
    </xf>
    <xf numFmtId="44" fontId="0" fillId="0" borderId="0" xfId="0" applyNumberFormat="1">
      <alignment vertical="top"/>
    </xf>
    <xf numFmtId="185" fontId="62" fillId="0" borderId="0" xfId="0" applyFont="1">
      <alignment vertical="top"/>
    </xf>
    <xf numFmtId="185" fontId="18" fillId="0" borderId="0" xfId="0" applyFont="1" applyFill="1" applyBorder="1">
      <alignment vertical="top"/>
    </xf>
    <xf numFmtId="185" fontId="62" fillId="0" borderId="9" xfId="0" applyFont="1" applyBorder="1">
      <alignment vertical="top"/>
    </xf>
    <xf numFmtId="14" fontId="62" fillId="0" borderId="0" xfId="0" applyNumberFormat="1" applyFont="1">
      <alignment vertical="top"/>
    </xf>
    <xf numFmtId="180" fontId="17" fillId="0" borderId="0" xfId="0" applyNumberFormat="1" applyFont="1" applyFill="1">
      <alignment vertical="top"/>
    </xf>
    <xf numFmtId="180" fontId="0" fillId="0" borderId="0" xfId="0" applyNumberFormat="1">
      <alignment vertical="top"/>
    </xf>
    <xf numFmtId="44" fontId="13" fillId="9" borderId="8" xfId="29" applyNumberFormat="1" applyFont="1" applyFill="1" applyBorder="1" applyAlignment="1">
      <alignment horizontal="centerContinuous"/>
    </xf>
    <xf numFmtId="44" fontId="54" fillId="0" borderId="0" xfId="0" applyNumberFormat="1" applyFont="1" applyBorder="1">
      <alignment vertical="top"/>
    </xf>
    <xf numFmtId="44" fontId="17" fillId="0" borderId="3" xfId="0" applyNumberFormat="1" applyFont="1" applyFill="1" applyBorder="1">
      <alignment vertical="top"/>
    </xf>
    <xf numFmtId="44" fontId="0" fillId="0" borderId="3" xfId="0" applyNumberFormat="1" applyBorder="1">
      <alignment vertical="top"/>
    </xf>
    <xf numFmtId="185" fontId="0" fillId="0" borderId="10" xfId="0" applyBorder="1">
      <alignment vertical="top"/>
    </xf>
    <xf numFmtId="185" fontId="61" fillId="0" borderId="0" xfId="0" applyFont="1" applyAlignment="1">
      <alignment horizontal="left"/>
    </xf>
    <xf numFmtId="164" fontId="32" fillId="0" borderId="6" xfId="0" applyNumberFormat="1" applyFont="1" applyFill="1" applyBorder="1">
      <alignment vertical="top"/>
    </xf>
    <xf numFmtId="164" fontId="32" fillId="0" borderId="0" xfId="0" applyNumberFormat="1" applyFont="1" applyBorder="1">
      <alignment vertical="top"/>
    </xf>
    <xf numFmtId="164" fontId="32" fillId="0" borderId="9" xfId="0" applyNumberFormat="1" applyFont="1" applyBorder="1">
      <alignment vertical="top"/>
    </xf>
    <xf numFmtId="164" fontId="32" fillId="0" borderId="6" xfId="0" applyNumberFormat="1" applyFont="1" applyBorder="1">
      <alignment vertical="top"/>
    </xf>
    <xf numFmtId="164" fontId="32" fillId="0" borderId="11" xfId="0" applyNumberFormat="1" applyFont="1" applyBorder="1">
      <alignment vertical="top"/>
    </xf>
    <xf numFmtId="173" fontId="17" fillId="0" borderId="6" xfId="19" applyNumberFormat="1" applyFont="1" applyBorder="1" applyAlignment="1">
      <alignment horizontal="center"/>
    </xf>
    <xf numFmtId="169" fontId="25" fillId="0" borderId="9" xfId="5" applyNumberFormat="1" applyFont="1" applyFill="1" applyBorder="1" applyAlignment="1"/>
    <xf numFmtId="2" fontId="32" fillId="0" borderId="0" xfId="0" applyNumberFormat="1" applyFont="1" applyFill="1" applyBorder="1" applyAlignment="1">
      <alignment horizontal="center"/>
    </xf>
    <xf numFmtId="164" fontId="32" fillId="0" borderId="9" xfId="0" applyNumberFormat="1" applyFont="1" applyFill="1" applyBorder="1" applyAlignment="1">
      <alignment horizontal="center"/>
    </xf>
    <xf numFmtId="164" fontId="32" fillId="0" borderId="9" xfId="0" applyNumberFormat="1" applyFont="1" applyBorder="1" applyAlignment="1">
      <alignment horizontal="center"/>
    </xf>
    <xf numFmtId="177" fontId="32" fillId="0" borderId="9" xfId="0" applyNumberFormat="1" applyFon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85" fontId="37" fillId="0" borderId="9" xfId="0" applyFont="1" applyBorder="1" applyAlignment="1">
      <alignment horizontal="center"/>
    </xf>
    <xf numFmtId="164" fontId="32" fillId="0" borderId="11" xfId="0" applyNumberFormat="1" applyFont="1" applyFill="1" applyBorder="1">
      <alignment vertical="top"/>
    </xf>
    <xf numFmtId="3" fontId="32" fillId="0" borderId="2" xfId="0" applyNumberFormat="1" applyFont="1" applyBorder="1">
      <alignment vertical="top"/>
    </xf>
    <xf numFmtId="167" fontId="17" fillId="0" borderId="0" xfId="19" applyNumberFormat="1" applyFont="1" applyBorder="1" applyAlignment="1"/>
    <xf numFmtId="0" fontId="17" fillId="0" borderId="0" xfId="19" applyFont="1" applyBorder="1" applyAlignment="1">
      <alignment horizontal="left" indent="2"/>
    </xf>
    <xf numFmtId="186" fontId="32" fillId="0" borderId="0" xfId="31" applyFont="1" applyBorder="1" applyAlignment="1">
      <alignment horizontal="center"/>
    </xf>
    <xf numFmtId="185" fontId="17" fillId="0" borderId="0" xfId="0" applyFont="1" applyAlignment="1">
      <alignment horizontal="left" indent="1"/>
    </xf>
    <xf numFmtId="172" fontId="17" fillId="0" borderId="0" xfId="19" applyNumberFormat="1" applyFont="1" applyBorder="1" applyAlignment="1"/>
    <xf numFmtId="185" fontId="25" fillId="0" borderId="0" xfId="5" applyFont="1" applyFill="1" applyBorder="1" applyAlignment="1"/>
    <xf numFmtId="0" fontId="17" fillId="0" borderId="6" xfId="29" applyFont="1" applyFill="1" applyBorder="1" applyAlignment="1">
      <alignment horizontal="left" indent="1"/>
    </xf>
    <xf numFmtId="0" fontId="21" fillId="0" borderId="6" xfId="29" applyFont="1" applyFill="1" applyBorder="1"/>
    <xf numFmtId="185" fontId="21" fillId="0" borderId="6" xfId="0" applyFont="1" applyFill="1" applyBorder="1" applyAlignment="1">
      <alignment horizontal="center"/>
    </xf>
    <xf numFmtId="185" fontId="22" fillId="0" borderId="6" xfId="0" applyFont="1" applyFill="1" applyBorder="1" applyAlignment="1">
      <alignment horizontal="center"/>
    </xf>
    <xf numFmtId="185" fontId="21" fillId="0" borderId="6" xfId="0" applyFont="1" applyFill="1" applyBorder="1">
      <alignment vertical="top"/>
    </xf>
    <xf numFmtId="185" fontId="64" fillId="0" borderId="0" xfId="0" applyFont="1">
      <alignment vertical="top"/>
    </xf>
    <xf numFmtId="185" fontId="65" fillId="0" borderId="0" xfId="0" applyFont="1">
      <alignment vertical="top"/>
    </xf>
    <xf numFmtId="164" fontId="31" fillId="0" borderId="0" xfId="19" applyNumberFormat="1" applyFont="1" applyBorder="1" applyAlignment="1"/>
    <xf numFmtId="164" fontId="31" fillId="9" borderId="7" xfId="0" applyNumberFormat="1" applyFont="1" applyFill="1" applyBorder="1">
      <alignment vertical="top"/>
    </xf>
    <xf numFmtId="3" fontId="32" fillId="0" borderId="0" xfId="0" applyNumberFormat="1" applyFont="1" applyFill="1">
      <alignment vertical="top"/>
    </xf>
    <xf numFmtId="0" fontId="11" fillId="0" borderId="0" xfId="29" applyFont="1" applyFill="1"/>
    <xf numFmtId="3" fontId="30" fillId="0" borderId="0" xfId="0" applyNumberFormat="1" applyFont="1" applyFill="1">
      <alignment vertical="top"/>
    </xf>
    <xf numFmtId="44" fontId="17" fillId="0" borderId="6" xfId="0" applyNumberFormat="1" applyFont="1" applyFill="1" applyBorder="1">
      <alignment vertical="top"/>
    </xf>
    <xf numFmtId="185" fontId="17" fillId="0" borderId="6" xfId="0" applyFont="1" applyFill="1" applyBorder="1">
      <alignment vertical="top"/>
    </xf>
    <xf numFmtId="8" fontId="25" fillId="0" borderId="0" xfId="0" applyNumberFormat="1" applyFont="1" applyFill="1" applyBorder="1" applyAlignment="1"/>
    <xf numFmtId="186" fontId="24" fillId="0" borderId="0" xfId="31" applyFont="1" applyFill="1" applyBorder="1" applyAlignment="1"/>
    <xf numFmtId="172" fontId="31" fillId="0" borderId="0" xfId="19" applyNumberFormat="1" applyFont="1" applyBorder="1" applyAlignment="1"/>
    <xf numFmtId="2" fontId="32" fillId="0" borderId="8" xfId="0" applyNumberFormat="1" applyFont="1" applyFill="1" applyBorder="1" applyAlignment="1">
      <alignment horizontal="center"/>
    </xf>
    <xf numFmtId="165" fontId="30" fillId="0" borderId="8" xfId="0" applyNumberFormat="1" applyFont="1" applyFill="1" applyBorder="1" applyAlignment="1">
      <alignment horizontal="center"/>
    </xf>
    <xf numFmtId="17" fontId="17" fillId="0" borderId="24" xfId="0" applyNumberFormat="1" applyFont="1" applyBorder="1" applyAlignment="1">
      <alignment horizontal="center"/>
    </xf>
    <xf numFmtId="185" fontId="17" fillId="0" borderId="24" xfId="0" applyFont="1" applyBorder="1" applyAlignment="1">
      <alignment horizontal="left"/>
    </xf>
    <xf numFmtId="185" fontId="0" fillId="0" borderId="24" xfId="0" applyBorder="1">
      <alignment vertical="top"/>
    </xf>
    <xf numFmtId="3" fontId="32" fillId="0" borderId="24" xfId="0" applyNumberFormat="1" applyFont="1" applyFill="1" applyBorder="1">
      <alignment vertical="top"/>
    </xf>
    <xf numFmtId="3" fontId="30" fillId="0" borderId="24" xfId="0" applyNumberFormat="1" applyFont="1" applyBorder="1">
      <alignment vertical="top"/>
    </xf>
    <xf numFmtId="185" fontId="0" fillId="0" borderId="24" xfId="0" applyFill="1" applyBorder="1">
      <alignment vertical="top"/>
    </xf>
    <xf numFmtId="3" fontId="32" fillId="0" borderId="24" xfId="0" applyNumberFormat="1" applyFont="1" applyBorder="1">
      <alignment vertical="top"/>
    </xf>
    <xf numFmtId="3" fontId="30" fillId="0" borderId="24" xfId="0" applyNumberFormat="1" applyFont="1" applyFill="1" applyBorder="1">
      <alignment vertical="top"/>
    </xf>
    <xf numFmtId="186" fontId="17" fillId="0" borderId="24" xfId="31" applyFont="1" applyBorder="1">
      <alignment vertical="top"/>
    </xf>
    <xf numFmtId="185" fontId="40" fillId="0" borderId="24" xfId="0" applyFont="1" applyBorder="1">
      <alignment vertical="top"/>
    </xf>
    <xf numFmtId="185" fontId="17" fillId="0" borderId="24" xfId="0" applyFont="1" applyBorder="1">
      <alignment vertical="top"/>
    </xf>
    <xf numFmtId="9" fontId="17" fillId="0" borderId="24" xfId="31" applyNumberFormat="1" applyFont="1" applyBorder="1">
      <alignment vertical="top"/>
    </xf>
    <xf numFmtId="3" fontId="17" fillId="0" borderId="24" xfId="0" applyNumberFormat="1" applyFont="1" applyBorder="1">
      <alignment vertical="top"/>
    </xf>
    <xf numFmtId="185" fontId="17" fillId="7" borderId="24" xfId="0" applyFont="1" applyFill="1" applyBorder="1">
      <alignment vertical="top"/>
    </xf>
    <xf numFmtId="185" fontId="41" fillId="0" borderId="24" xfId="0" applyFont="1" applyBorder="1">
      <alignment vertical="top"/>
    </xf>
    <xf numFmtId="185" fontId="17" fillId="0" borderId="24" xfId="0" applyFont="1" applyBorder="1" applyAlignment="1">
      <alignment horizontal="center"/>
    </xf>
    <xf numFmtId="164" fontId="17" fillId="0" borderId="8" xfId="0" applyNumberFormat="1" applyFont="1" applyBorder="1">
      <alignment vertical="top"/>
    </xf>
    <xf numFmtId="185" fontId="34" fillId="7" borderId="24" xfId="0" applyFont="1" applyFill="1" applyBorder="1">
      <alignment vertical="top"/>
    </xf>
    <xf numFmtId="165" fontId="17" fillId="0" borderId="24" xfId="0" applyNumberFormat="1" applyFont="1" applyBorder="1" applyAlignment="1">
      <alignment horizontal="center"/>
    </xf>
    <xf numFmtId="164" fontId="41" fillId="0" borderId="24" xfId="0" applyNumberFormat="1" applyFont="1" applyBorder="1" applyAlignment="1">
      <alignment horizontal="center"/>
    </xf>
    <xf numFmtId="185" fontId="41" fillId="0" borderId="25" xfId="0" applyFont="1" applyBorder="1">
      <alignment vertical="top"/>
    </xf>
    <xf numFmtId="164" fontId="17" fillId="0" borderId="24" xfId="0" applyNumberFormat="1" applyFont="1" applyBorder="1">
      <alignment vertical="top"/>
    </xf>
    <xf numFmtId="0" fontId="11" fillId="0" borderId="24" xfId="29" applyFont="1" applyBorder="1"/>
    <xf numFmtId="17" fontId="17" fillId="0" borderId="26" xfId="0" applyNumberFormat="1" applyFont="1" applyBorder="1" applyAlignment="1">
      <alignment horizontal="center"/>
    </xf>
    <xf numFmtId="165" fontId="31" fillId="0" borderId="24" xfId="31" applyNumberFormat="1" applyFont="1" applyBorder="1">
      <alignment vertical="top"/>
    </xf>
    <xf numFmtId="177" fontId="32" fillId="0" borderId="24" xfId="0" applyNumberFormat="1" applyFont="1" applyBorder="1" applyAlignment="1"/>
    <xf numFmtId="185" fontId="0" fillId="0" borderId="11" xfId="0" applyBorder="1">
      <alignment vertical="top"/>
    </xf>
    <xf numFmtId="44" fontId="0" fillId="0" borderId="6" xfId="0" applyNumberFormat="1" applyBorder="1">
      <alignment vertical="top"/>
    </xf>
    <xf numFmtId="44" fontId="17" fillId="0" borderId="0" xfId="0" applyNumberFormat="1" applyFont="1" applyFill="1" applyBorder="1">
      <alignment vertical="top"/>
    </xf>
    <xf numFmtId="44" fontId="0" fillId="0" borderId="0" xfId="0" applyNumberFormat="1" applyBorder="1">
      <alignment vertical="top"/>
    </xf>
    <xf numFmtId="180" fontId="17" fillId="0" borderId="0" xfId="0" applyNumberFormat="1" applyFont="1" applyFill="1" applyBorder="1">
      <alignment vertical="top"/>
    </xf>
    <xf numFmtId="185" fontId="53" fillId="0" borderId="0" xfId="0" applyFont="1" applyAlignment="1">
      <alignment horizontal="center"/>
    </xf>
    <xf numFmtId="185" fontId="42" fillId="0" borderId="24" xfId="0" applyFont="1" applyBorder="1">
      <alignment vertical="top"/>
    </xf>
    <xf numFmtId="8" fontId="17" fillId="0" borderId="24" xfId="0" applyNumberFormat="1" applyFont="1" applyBorder="1">
      <alignment vertical="top"/>
    </xf>
    <xf numFmtId="164" fontId="32" fillId="0" borderId="24" xfId="0" applyNumberFormat="1" applyFont="1" applyBorder="1">
      <alignment vertical="top"/>
    </xf>
    <xf numFmtId="164" fontId="31" fillId="0" borderId="24" xfId="0" applyNumberFormat="1" applyFont="1" applyBorder="1">
      <alignment vertical="top"/>
    </xf>
    <xf numFmtId="164" fontId="18" fillId="0" borderId="8" xfId="0" applyNumberFormat="1" applyFont="1" applyBorder="1">
      <alignment vertical="top"/>
    </xf>
    <xf numFmtId="185" fontId="17" fillId="0" borderId="24" xfId="0" applyFont="1" applyFill="1" applyBorder="1">
      <alignment vertical="top"/>
    </xf>
    <xf numFmtId="164" fontId="31" fillId="0" borderId="24" xfId="0" applyNumberFormat="1" applyFont="1" applyFill="1" applyBorder="1">
      <alignment vertical="top"/>
    </xf>
    <xf numFmtId="185" fontId="31" fillId="0" borderId="24" xfId="0" applyFont="1" applyBorder="1">
      <alignment vertical="top"/>
    </xf>
    <xf numFmtId="164" fontId="17" fillId="0" borderId="26" xfId="0" applyNumberFormat="1" applyFont="1" applyBorder="1">
      <alignment vertical="top"/>
    </xf>
    <xf numFmtId="185" fontId="17" fillId="0" borderId="26" xfId="0" applyFont="1" applyBorder="1">
      <alignment vertical="top"/>
    </xf>
    <xf numFmtId="164" fontId="31" fillId="0" borderId="26" xfId="0" applyNumberFormat="1" applyFont="1" applyBorder="1">
      <alignment vertical="top"/>
    </xf>
    <xf numFmtId="185" fontId="31" fillId="0" borderId="26" xfId="0" applyFont="1" applyBorder="1">
      <alignment vertical="top"/>
    </xf>
    <xf numFmtId="165" fontId="31" fillId="0" borderId="24" xfId="0" applyNumberFormat="1" applyFont="1" applyFill="1" applyBorder="1" applyAlignment="1">
      <alignment horizontal="right"/>
    </xf>
    <xf numFmtId="164" fontId="30" fillId="0" borderId="24" xfId="0" applyNumberFormat="1" applyFont="1" applyBorder="1">
      <alignment vertical="top"/>
    </xf>
    <xf numFmtId="167" fontId="18" fillId="0" borderId="0" xfId="19" applyNumberFormat="1" applyFont="1" applyBorder="1" applyAlignment="1"/>
    <xf numFmtId="0" fontId="17" fillId="0" borderId="0" xfId="19" applyFont="1" applyAlignment="1">
      <alignment horizontal="left"/>
    </xf>
    <xf numFmtId="0" fontId="18" fillId="0" borderId="0" xfId="19" applyFont="1" applyAlignment="1">
      <alignment horizontal="left"/>
    </xf>
    <xf numFmtId="1" fontId="0" fillId="0" borderId="0" xfId="0" applyNumberFormat="1">
      <alignment vertical="top"/>
    </xf>
    <xf numFmtId="2" fontId="17" fillId="0" borderId="0" xfId="19" applyNumberFormat="1" applyFont="1" applyBorder="1" applyAlignment="1">
      <alignment horizontal="left" indent="2"/>
    </xf>
    <xf numFmtId="186" fontId="25" fillId="0" borderId="0" xfId="31" applyFont="1" applyFill="1" applyBorder="1" applyAlignment="1"/>
    <xf numFmtId="0" fontId="68" fillId="0" borderId="0" xfId="29" applyFont="1" applyBorder="1"/>
    <xf numFmtId="0" fontId="17" fillId="0" borderId="0" xfId="19" applyFont="1" applyFill="1" applyBorder="1" applyAlignment="1">
      <alignment horizontal="left"/>
    </xf>
    <xf numFmtId="182" fontId="30" fillId="0" borderId="0" xfId="37" applyNumberFormat="1" applyFont="1" applyBorder="1" applyAlignment="1"/>
    <xf numFmtId="9" fontId="0" fillId="0" borderId="0" xfId="0" applyNumberFormat="1" applyBorder="1">
      <alignment vertical="top"/>
    </xf>
    <xf numFmtId="172" fontId="0" fillId="0" borderId="0" xfId="0" applyNumberFormat="1">
      <alignment vertical="top"/>
    </xf>
    <xf numFmtId="171" fontId="0" fillId="0" borderId="0" xfId="0" applyNumberFormat="1" applyBorder="1">
      <alignment vertical="top"/>
    </xf>
    <xf numFmtId="172" fontId="0" fillId="0" borderId="0" xfId="0" applyNumberFormat="1" applyBorder="1">
      <alignment vertical="top"/>
    </xf>
    <xf numFmtId="185" fontId="25" fillId="0" borderId="6" xfId="5" applyFont="1" applyFill="1" applyBorder="1" applyAlignment="1"/>
    <xf numFmtId="185" fontId="25" fillId="0" borderId="9" xfId="5" applyFont="1" applyFill="1" applyBorder="1" applyAlignment="1"/>
    <xf numFmtId="181" fontId="25" fillId="0" borderId="0" xfId="5" applyNumberFormat="1" applyFont="1" applyFill="1" applyBorder="1" applyAlignment="1"/>
    <xf numFmtId="8" fontId="0" fillId="0" borderId="0" xfId="0" applyNumberFormat="1">
      <alignment vertical="top"/>
    </xf>
    <xf numFmtId="0" fontId="22" fillId="8" borderId="0" xfId="29" applyFont="1" applyFill="1" applyBorder="1"/>
    <xf numFmtId="0" fontId="21" fillId="8" borderId="0" xfId="29" applyFont="1" applyFill="1" applyBorder="1"/>
    <xf numFmtId="185" fontId="21" fillId="8" borderId="0" xfId="0" applyFont="1" applyFill="1" applyBorder="1" applyAlignment="1">
      <alignment horizontal="center"/>
    </xf>
    <xf numFmtId="185" fontId="21" fillId="8" borderId="0" xfId="0" applyFont="1" applyFill="1" applyBorder="1">
      <alignment vertical="top"/>
    </xf>
    <xf numFmtId="8" fontId="23" fillId="8" borderId="0" xfId="0" applyNumberFormat="1" applyFont="1" applyFill="1" applyBorder="1" applyAlignment="1"/>
    <xf numFmtId="0" fontId="17" fillId="8" borderId="0" xfId="29" applyFont="1" applyFill="1" applyBorder="1" applyAlignment="1">
      <alignment horizontal="left" indent="1"/>
    </xf>
    <xf numFmtId="185" fontId="22" fillId="8" borderId="0" xfId="0" applyFont="1" applyFill="1" applyBorder="1" applyAlignment="1">
      <alignment horizontal="center"/>
    </xf>
    <xf numFmtId="185" fontId="25" fillId="8" borderId="0" xfId="5" applyFont="1" applyFill="1" applyBorder="1" applyAlignment="1"/>
    <xf numFmtId="0" fontId="21" fillId="8" borderId="0" xfId="29" applyFont="1" applyFill="1" applyBorder="1" applyAlignment="1">
      <alignment horizontal="left" indent="1"/>
    </xf>
    <xf numFmtId="169" fontId="25" fillId="8" borderId="0" xfId="5" applyNumberFormat="1" applyFont="1" applyFill="1" applyBorder="1" applyAlignment="1"/>
    <xf numFmtId="164" fontId="21" fillId="8" borderId="0" xfId="0" applyNumberFormat="1" applyFont="1" applyFill="1" applyBorder="1" applyAlignment="1"/>
    <xf numFmtId="168" fontId="24" fillId="8" borderId="0" xfId="5" applyNumberFormat="1" applyFont="1" applyFill="1" applyBorder="1" applyAlignment="1"/>
    <xf numFmtId="165" fontId="24" fillId="8" borderId="0" xfId="31" applyNumberFormat="1" applyFont="1" applyFill="1" applyBorder="1" applyAlignment="1"/>
    <xf numFmtId="0" fontId="21" fillId="8" borderId="3" xfId="29" applyFont="1" applyFill="1" applyBorder="1"/>
    <xf numFmtId="185" fontId="21" fillId="8" borderId="3" xfId="0" applyFont="1" applyFill="1" applyBorder="1" applyAlignment="1">
      <alignment horizontal="center"/>
    </xf>
    <xf numFmtId="185" fontId="21" fillId="8" borderId="3" xfId="0" applyFont="1" applyFill="1" applyBorder="1">
      <alignment vertical="top"/>
    </xf>
    <xf numFmtId="165" fontId="21" fillId="8" borderId="3" xfId="31" applyNumberFormat="1" applyFont="1" applyFill="1" applyBorder="1" applyAlignment="1"/>
    <xf numFmtId="0" fontId="26" fillId="8" borderId="0" xfId="26" applyFill="1"/>
    <xf numFmtId="0" fontId="26" fillId="8" borderId="0" xfId="26" applyFill="1" applyBorder="1"/>
    <xf numFmtId="0" fontId="21" fillId="8" borderId="6" xfId="29" applyFont="1" applyFill="1" applyBorder="1" applyAlignment="1">
      <alignment horizontal="left" indent="1"/>
    </xf>
    <xf numFmtId="0" fontId="17" fillId="0" borderId="0" xfId="29" applyFont="1" applyFill="1" applyBorder="1" applyAlignment="1">
      <alignment horizontal="left"/>
    </xf>
    <xf numFmtId="2" fontId="30" fillId="0" borderId="1" xfId="0" applyNumberFormat="1" applyFont="1" applyFill="1" applyBorder="1" applyAlignment="1">
      <alignment horizontal="center"/>
    </xf>
    <xf numFmtId="2" fontId="30" fillId="0" borderId="8" xfId="0" applyNumberFormat="1" applyFont="1" applyFill="1" applyBorder="1" applyAlignment="1">
      <alignment horizontal="center"/>
    </xf>
    <xf numFmtId="0" fontId="17" fillId="0" borderId="0" xfId="29" applyFont="1" applyBorder="1" applyAlignment="1">
      <alignment horizontal="left" indent="1"/>
    </xf>
    <xf numFmtId="0" fontId="27" fillId="0" borderId="0" xfId="29" applyFont="1" applyBorder="1" applyAlignment="1">
      <alignment horizontal="left" indent="1"/>
    </xf>
    <xf numFmtId="0" fontId="20" fillId="0" borderId="0" xfId="29" applyFont="1" applyBorder="1" applyAlignment="1">
      <alignment horizontal="left" indent="1"/>
    </xf>
    <xf numFmtId="185" fontId="17" fillId="0" borderId="0" xfId="0" applyFont="1" applyFill="1" applyAlignment="1">
      <alignment horizontal="left" indent="1"/>
    </xf>
    <xf numFmtId="185" fontId="17" fillId="0" borderId="0" xfId="0" applyFont="1" applyAlignment="1">
      <alignment horizontal="left" indent="2"/>
    </xf>
    <xf numFmtId="185" fontId="39" fillId="0" borderId="0" xfId="0" applyFont="1" applyAlignment="1">
      <alignment horizontal="left" indent="2"/>
    </xf>
    <xf numFmtId="0" fontId="21" fillId="0" borderId="0" xfId="29" applyFont="1" applyFill="1" applyBorder="1" applyAlignment="1">
      <alignment horizontal="left" indent="3"/>
    </xf>
    <xf numFmtId="180" fontId="32" fillId="0" borderId="0" xfId="0" applyNumberFormat="1" applyFont="1" applyFill="1">
      <alignment vertical="top"/>
    </xf>
    <xf numFmtId="180" fontId="32" fillId="0" borderId="6" xfId="0" applyNumberFormat="1" applyFont="1" applyFill="1" applyBorder="1">
      <alignment vertical="top"/>
    </xf>
    <xf numFmtId="185" fontId="17" fillId="0" borderId="0" xfId="0" applyFont="1" applyBorder="1" applyAlignment="1">
      <alignment horizontal="center"/>
    </xf>
    <xf numFmtId="173" fontId="17" fillId="0" borderId="0" xfId="19" applyNumberFormat="1" applyFont="1" applyFill="1" applyBorder="1" applyAlignment="1">
      <alignment horizontal="center"/>
    </xf>
    <xf numFmtId="185" fontId="23" fillId="0" borderId="0" xfId="5" applyFont="1" applyFill="1" applyBorder="1" applyAlignment="1"/>
    <xf numFmtId="10" fontId="60" fillId="0" borderId="2" xfId="31" applyNumberFormat="1" applyFont="1" applyFill="1" applyBorder="1">
      <alignment vertical="top"/>
    </xf>
    <xf numFmtId="177" fontId="32" fillId="0" borderId="11" xfId="0" applyNumberFormat="1" applyFont="1" applyBorder="1" applyAlignment="1">
      <alignment horizontal="center"/>
    </xf>
    <xf numFmtId="171" fontId="30" fillId="0" borderId="0" xfId="19" applyNumberFormat="1" applyFont="1" applyFill="1" applyBorder="1" applyAlignment="1">
      <alignment horizontal="right"/>
    </xf>
    <xf numFmtId="1" fontId="0" fillId="0" borderId="0" xfId="0" applyNumberFormat="1" applyBorder="1">
      <alignment vertical="top"/>
    </xf>
    <xf numFmtId="172" fontId="26" fillId="0" borderId="0" xfId="26" applyNumberFormat="1" applyBorder="1"/>
    <xf numFmtId="185" fontId="62" fillId="0" borderId="6" xfId="0" applyFont="1" applyBorder="1">
      <alignment vertical="top"/>
    </xf>
    <xf numFmtId="185" fontId="0" fillId="0" borderId="10" xfId="0" applyFill="1" applyBorder="1">
      <alignment vertical="top"/>
    </xf>
    <xf numFmtId="8" fontId="25" fillId="8" borderId="0" xfId="0" applyNumberFormat="1" applyFont="1" applyFill="1" applyBorder="1" applyAlignment="1"/>
    <xf numFmtId="164" fontId="21" fillId="0" borderId="6" xfId="0" applyNumberFormat="1" applyFont="1" applyFill="1" applyBorder="1" applyAlignment="1"/>
    <xf numFmtId="0" fontId="17" fillId="7" borderId="9" xfId="19" applyFont="1" applyFill="1" applyBorder="1"/>
    <xf numFmtId="0" fontId="17" fillId="0" borderId="9" xfId="19" applyFont="1" applyBorder="1"/>
    <xf numFmtId="185" fontId="17" fillId="0" borderId="9" xfId="0" applyFont="1" applyBorder="1" applyAlignment="1">
      <alignment horizontal="center"/>
    </xf>
    <xf numFmtId="173" fontId="17" fillId="0" borderId="11" xfId="19" applyNumberFormat="1" applyFont="1" applyBorder="1" applyAlignment="1">
      <alignment horizontal="center"/>
    </xf>
    <xf numFmtId="173" fontId="17" fillId="0" borderId="9" xfId="19" applyNumberFormat="1" applyFont="1" applyBorder="1" applyAlignment="1">
      <alignment horizontal="center"/>
    </xf>
    <xf numFmtId="173" fontId="17" fillId="0" borderId="9" xfId="19" applyNumberFormat="1" applyFont="1" applyFill="1" applyBorder="1" applyAlignment="1">
      <alignment horizontal="center"/>
    </xf>
    <xf numFmtId="164" fontId="31" fillId="0" borderId="9" xfId="19" applyNumberFormat="1" applyFont="1" applyBorder="1" applyAlignment="1"/>
    <xf numFmtId="172" fontId="31" fillId="0" borderId="9" xfId="19" applyNumberFormat="1" applyFont="1" applyBorder="1" applyAlignment="1"/>
    <xf numFmtId="171" fontId="31" fillId="0" borderId="9" xfId="19" applyNumberFormat="1" applyFont="1" applyFill="1" applyBorder="1" applyAlignment="1">
      <alignment horizontal="right"/>
    </xf>
    <xf numFmtId="172" fontId="31" fillId="0" borderId="9" xfId="19" applyNumberFormat="1" applyFont="1" applyFill="1" applyBorder="1" applyAlignment="1">
      <alignment horizontal="right"/>
    </xf>
    <xf numFmtId="0" fontId="17" fillId="0" borderId="9" xfId="19" applyFont="1" applyBorder="1" applyAlignment="1">
      <alignment horizontal="center"/>
    </xf>
    <xf numFmtId="167" fontId="31" fillId="0" borderId="9" xfId="19" applyNumberFormat="1" applyFont="1" applyBorder="1" applyAlignment="1">
      <alignment horizontal="right"/>
    </xf>
    <xf numFmtId="167" fontId="18" fillId="0" borderId="10" xfId="19" applyNumberFormat="1" applyFont="1" applyBorder="1" applyAlignment="1"/>
    <xf numFmtId="167" fontId="18" fillId="0" borderId="9" xfId="19" applyNumberFormat="1" applyFont="1" applyBorder="1" applyAlignment="1"/>
    <xf numFmtId="164" fontId="18" fillId="0" borderId="9" xfId="19" applyNumberFormat="1" applyFont="1" applyBorder="1" applyAlignment="1">
      <alignment horizontal="center"/>
    </xf>
    <xf numFmtId="0" fontId="28" fillId="7" borderId="28" xfId="26" applyFont="1" applyFill="1" applyBorder="1" applyAlignment="1">
      <alignment horizontal="centerContinuous"/>
    </xf>
    <xf numFmtId="164" fontId="17" fillId="0" borderId="9" xfId="19" applyNumberFormat="1" applyFont="1" applyBorder="1" applyAlignment="1"/>
    <xf numFmtId="1" fontId="0" fillId="0" borderId="9" xfId="0" applyNumberFormat="1" applyBorder="1">
      <alignment vertical="top"/>
    </xf>
    <xf numFmtId="167" fontId="17" fillId="0" borderId="9" xfId="19" applyNumberFormat="1" applyFont="1" applyBorder="1" applyAlignment="1"/>
    <xf numFmtId="172" fontId="0" fillId="0" borderId="9" xfId="0" applyNumberFormat="1" applyBorder="1">
      <alignment vertical="top"/>
    </xf>
    <xf numFmtId="2" fontId="17" fillId="0" borderId="9" xfId="19" applyNumberFormat="1" applyFont="1" applyBorder="1" applyAlignment="1">
      <alignment horizontal="left" indent="2"/>
    </xf>
    <xf numFmtId="172" fontId="17" fillId="0" borderId="9" xfId="19" applyNumberFormat="1" applyFont="1" applyBorder="1" applyAlignment="1"/>
    <xf numFmtId="170" fontId="30" fillId="0" borderId="9" xfId="19" applyNumberFormat="1" applyFont="1" applyFill="1" applyBorder="1" applyAlignment="1">
      <alignment horizontal="right"/>
    </xf>
    <xf numFmtId="164" fontId="31" fillId="0" borderId="9" xfId="19" applyNumberFormat="1" applyFont="1" applyFill="1" applyBorder="1" applyAlignment="1">
      <alignment horizontal="right"/>
    </xf>
    <xf numFmtId="172" fontId="26" fillId="0" borderId="9" xfId="26" applyNumberFormat="1" applyBorder="1"/>
    <xf numFmtId="171" fontId="0" fillId="0" borderId="9" xfId="0" applyNumberFormat="1" applyBorder="1">
      <alignment vertical="top"/>
    </xf>
    <xf numFmtId="165" fontId="17" fillId="0" borderId="9" xfId="31" applyNumberFormat="1" applyFont="1" applyFill="1" applyBorder="1" applyAlignment="1">
      <alignment horizontal="right"/>
    </xf>
    <xf numFmtId="164" fontId="30" fillId="0" borderId="9" xfId="19" applyNumberFormat="1" applyFont="1" applyFill="1" applyBorder="1" applyAlignment="1">
      <alignment horizontal="right"/>
    </xf>
    <xf numFmtId="164" fontId="17" fillId="0" borderId="9" xfId="0" applyNumberFormat="1" applyFont="1" applyFill="1" applyBorder="1">
      <alignment vertical="top"/>
    </xf>
    <xf numFmtId="165" fontId="21" fillId="0" borderId="9" xfId="31" applyNumberFormat="1" applyFont="1" applyFill="1" applyBorder="1" applyAlignment="1">
      <alignment horizontal="center"/>
    </xf>
    <xf numFmtId="0" fontId="26" fillId="0" borderId="9" xfId="26" applyFill="1" applyBorder="1"/>
    <xf numFmtId="8" fontId="23" fillId="0" borderId="9" xfId="0" applyNumberFormat="1" applyFont="1" applyFill="1" applyBorder="1" applyAlignment="1"/>
    <xf numFmtId="8" fontId="25" fillId="0" borderId="9" xfId="0" applyNumberFormat="1" applyFont="1" applyFill="1" applyBorder="1" applyAlignment="1"/>
    <xf numFmtId="168" fontId="25" fillId="0" borderId="9" xfId="5" applyNumberFormat="1" applyFont="1" applyFill="1" applyBorder="1" applyAlignment="1"/>
    <xf numFmtId="164" fontId="21" fillId="0" borderId="9" xfId="0" applyNumberFormat="1" applyFont="1" applyFill="1" applyBorder="1" applyAlignment="1"/>
    <xf numFmtId="168" fontId="24" fillId="0" borderId="9" xfId="5" applyNumberFormat="1" applyFont="1" applyFill="1" applyBorder="1" applyAlignment="1"/>
    <xf numFmtId="165" fontId="24" fillId="0" borderId="9" xfId="31" applyNumberFormat="1" applyFont="1" applyFill="1" applyBorder="1" applyAlignment="1"/>
    <xf numFmtId="165" fontId="21" fillId="0" borderId="10" xfId="31" applyNumberFormat="1" applyFont="1" applyFill="1" applyBorder="1" applyAlignment="1"/>
    <xf numFmtId="165" fontId="21" fillId="0" borderId="9" xfId="31" applyNumberFormat="1" applyFont="1" applyFill="1" applyBorder="1" applyAlignment="1"/>
    <xf numFmtId="185" fontId="23" fillId="0" borderId="9" xfId="5" applyFont="1" applyFill="1" applyBorder="1" applyAlignment="1"/>
    <xf numFmtId="181" fontId="25" fillId="0" borderId="9" xfId="5" applyNumberFormat="1" applyFont="1" applyFill="1" applyBorder="1" applyAlignment="1"/>
    <xf numFmtId="8" fontId="25" fillId="8" borderId="9" xfId="0" applyNumberFormat="1" applyFont="1" applyFill="1" applyBorder="1" applyAlignment="1"/>
    <xf numFmtId="185" fontId="25" fillId="8" borderId="9" xfId="5" applyFont="1" applyFill="1" applyBorder="1" applyAlignment="1"/>
    <xf numFmtId="169" fontId="25" fillId="8" borderId="9" xfId="5" applyNumberFormat="1" applyFont="1" applyFill="1" applyBorder="1" applyAlignment="1"/>
    <xf numFmtId="164" fontId="21" fillId="8" borderId="9" xfId="0" applyNumberFormat="1" applyFont="1" applyFill="1" applyBorder="1" applyAlignment="1"/>
    <xf numFmtId="168" fontId="24" fillId="8" borderId="9" xfId="5" applyNumberFormat="1" applyFont="1" applyFill="1" applyBorder="1" applyAlignment="1"/>
    <xf numFmtId="165" fontId="24" fillId="8" borderId="9" xfId="31" applyNumberFormat="1" applyFont="1" applyFill="1" applyBorder="1" applyAlignment="1"/>
    <xf numFmtId="165" fontId="21" fillId="8" borderId="10" xfId="31" applyNumberFormat="1" applyFont="1" applyFill="1" applyBorder="1" applyAlignment="1"/>
    <xf numFmtId="0" fontId="26" fillId="8" borderId="9" xfId="26" applyFill="1" applyBorder="1"/>
    <xf numFmtId="171" fontId="30" fillId="0" borderId="9" xfId="19" applyNumberFormat="1" applyFont="1" applyFill="1" applyBorder="1" applyAlignment="1">
      <alignment horizontal="right"/>
    </xf>
    <xf numFmtId="166" fontId="21" fillId="0" borderId="9" xfId="0" applyNumberFormat="1" applyFont="1" applyFill="1" applyBorder="1" applyAlignment="1"/>
    <xf numFmtId="165" fontId="21" fillId="0" borderId="7" xfId="31" applyNumberFormat="1" applyFont="1" applyFill="1" applyBorder="1" applyAlignment="1"/>
    <xf numFmtId="185" fontId="21" fillId="0" borderId="9" xfId="0" applyFont="1" applyFill="1" applyBorder="1" applyAlignment="1"/>
    <xf numFmtId="164" fontId="21" fillId="0" borderId="11" xfId="0" applyNumberFormat="1" applyFont="1" applyFill="1" applyBorder="1" applyAlignment="1"/>
    <xf numFmtId="0" fontId="26" fillId="0" borderId="9" xfId="26" applyBorder="1"/>
    <xf numFmtId="185" fontId="29" fillId="7" borderId="28" xfId="0" applyFont="1" applyFill="1" applyBorder="1" applyAlignment="1">
      <alignment horizontal="centerContinuous"/>
    </xf>
    <xf numFmtId="186" fontId="21" fillId="0" borderId="0" xfId="31" applyFont="1" applyFill="1" applyBorder="1" applyAlignment="1"/>
    <xf numFmtId="172" fontId="63" fillId="0" borderId="9" xfId="26" applyNumberFormat="1" applyFont="1" applyBorder="1"/>
    <xf numFmtId="165" fontId="32" fillId="0" borderId="9" xfId="31" applyNumberFormat="1" applyFont="1" applyFill="1" applyBorder="1" applyAlignment="1">
      <alignment horizontal="right"/>
    </xf>
    <xf numFmtId="164" fontId="17" fillId="0" borderId="9" xfId="19" applyNumberFormat="1" applyFont="1" applyBorder="1" applyAlignment="1">
      <alignment horizontal="right"/>
    </xf>
    <xf numFmtId="185" fontId="29" fillId="7" borderId="28" xfId="0" applyFont="1" applyFill="1" applyBorder="1" applyAlignment="1">
      <alignment horizontal="center"/>
    </xf>
    <xf numFmtId="0" fontId="17" fillId="0" borderId="9" xfId="19" applyFont="1" applyBorder="1" applyAlignment="1">
      <alignment horizontal="left" indent="2"/>
    </xf>
    <xf numFmtId="172" fontId="26" fillId="0" borderId="9" xfId="26" applyNumberFormat="1" applyFont="1" applyBorder="1"/>
    <xf numFmtId="165" fontId="0" fillId="0" borderId="9" xfId="0" applyNumberFormat="1" applyBorder="1">
      <alignment vertical="top"/>
    </xf>
    <xf numFmtId="165" fontId="23" fillId="0" borderId="9" xfId="31" applyNumberFormat="1" applyFont="1" applyFill="1" applyBorder="1" applyAlignment="1"/>
    <xf numFmtId="165" fontId="23" fillId="0" borderId="11" xfId="31" applyNumberFormat="1" applyFont="1" applyFill="1" applyBorder="1" applyAlignment="1"/>
    <xf numFmtId="167" fontId="21" fillId="0" borderId="9" xfId="0" applyNumberFormat="1" applyFont="1" applyFill="1" applyBorder="1" applyAlignment="1"/>
    <xf numFmtId="167" fontId="21" fillId="0" borderId="10" xfId="0" applyNumberFormat="1" applyFont="1" applyFill="1" applyBorder="1" applyAlignment="1"/>
    <xf numFmtId="185" fontId="23" fillId="0" borderId="9" xfId="0" applyFont="1" applyFill="1" applyBorder="1" applyAlignment="1"/>
    <xf numFmtId="8" fontId="23" fillId="8" borderId="9" xfId="0" applyNumberFormat="1" applyFont="1" applyFill="1" applyBorder="1" applyAlignment="1"/>
    <xf numFmtId="165" fontId="23" fillId="8" borderId="9" xfId="31" applyNumberFormat="1" applyFont="1" applyFill="1" applyBorder="1" applyAlignment="1"/>
    <xf numFmtId="165" fontId="23" fillId="8" borderId="11" xfId="31" applyNumberFormat="1" applyFont="1" applyFill="1" applyBorder="1" applyAlignment="1"/>
    <xf numFmtId="167" fontId="21" fillId="8" borderId="9" xfId="0" applyNumberFormat="1" applyFont="1" applyFill="1" applyBorder="1" applyAlignment="1"/>
    <xf numFmtId="167" fontId="21" fillId="8" borderId="10" xfId="0" applyNumberFormat="1" applyFont="1" applyFill="1" applyBorder="1" applyAlignment="1"/>
    <xf numFmtId="8" fontId="23" fillId="0" borderId="11" xfId="0" applyNumberFormat="1" applyFont="1" applyFill="1" applyBorder="1" applyAlignment="1"/>
    <xf numFmtId="167" fontId="21" fillId="0" borderId="7" xfId="0" applyNumberFormat="1" applyFont="1" applyFill="1" applyBorder="1" applyAlignment="1"/>
    <xf numFmtId="168" fontId="25" fillId="0" borderId="3" xfId="5" applyNumberFormat="1" applyFont="1" applyFill="1" applyBorder="1" applyAlignment="1"/>
    <xf numFmtId="185" fontId="0" fillId="0" borderId="0" xfId="0" applyAlignment="1">
      <alignment horizontal="left"/>
    </xf>
    <xf numFmtId="164" fontId="17" fillId="0" borderId="10" xfId="0" applyNumberFormat="1" applyFont="1" applyFill="1" applyBorder="1">
      <alignment vertical="top"/>
    </xf>
    <xf numFmtId="164" fontId="30" fillId="0" borderId="0" xfId="0" applyNumberFormat="1" applyFont="1" applyFill="1" applyBorder="1">
      <alignment vertical="top"/>
    </xf>
    <xf numFmtId="164" fontId="30" fillId="0" borderId="9" xfId="0" applyNumberFormat="1" applyFont="1" applyFill="1" applyBorder="1">
      <alignment vertical="top"/>
    </xf>
    <xf numFmtId="164" fontId="59" fillId="0" borderId="0" xfId="0" applyNumberFormat="1" applyFont="1" applyFill="1" applyBorder="1">
      <alignment vertical="top"/>
    </xf>
    <xf numFmtId="164" fontId="59" fillId="0" borderId="9" xfId="0" applyNumberFormat="1" applyFont="1" applyFill="1" applyBorder="1">
      <alignment vertical="top"/>
    </xf>
    <xf numFmtId="164" fontId="34" fillId="0" borderId="0" xfId="0" applyNumberFormat="1" applyFont="1" applyFill="1" applyBorder="1">
      <alignment vertical="top"/>
    </xf>
    <xf numFmtId="164" fontId="34" fillId="0" borderId="9" xfId="0" applyNumberFormat="1" applyFont="1" applyFill="1" applyBorder="1">
      <alignment vertical="top"/>
    </xf>
    <xf numFmtId="164" fontId="32" fillId="0" borderId="1" xfId="0" applyNumberFormat="1" applyFont="1" applyFill="1" applyBorder="1">
      <alignment vertical="top"/>
    </xf>
    <xf numFmtId="164" fontId="32" fillId="0" borderId="24" xfId="0" applyNumberFormat="1" applyFont="1" applyFill="1" applyBorder="1">
      <alignment vertical="top"/>
    </xf>
    <xf numFmtId="14" fontId="0" fillId="0" borderId="0" xfId="0" applyNumberFormat="1">
      <alignment vertical="top"/>
    </xf>
    <xf numFmtId="44" fontId="23" fillId="0" borderId="0" xfId="0" applyNumberFormat="1" applyFont="1" applyFill="1" applyBorder="1" applyAlignment="1"/>
    <xf numFmtId="166" fontId="21" fillId="0" borderId="10" xfId="0" applyNumberFormat="1" applyFont="1" applyFill="1" applyBorder="1" applyAlignment="1"/>
    <xf numFmtId="164" fontId="58" fillId="10" borderId="7" xfId="0" applyNumberFormat="1" applyFont="1" applyFill="1" applyBorder="1">
      <alignment vertical="top"/>
    </xf>
    <xf numFmtId="164" fontId="32" fillId="0" borderId="27" xfId="0" applyNumberFormat="1" applyFont="1" applyFill="1" applyBorder="1">
      <alignment vertical="top"/>
    </xf>
    <xf numFmtId="164" fontId="32" fillId="0" borderId="3" xfId="0" applyNumberFormat="1" applyFont="1" applyFill="1" applyBorder="1">
      <alignment vertical="top"/>
    </xf>
    <xf numFmtId="164" fontId="32" fillId="0" borderId="3" xfId="0" applyNumberFormat="1" applyFont="1" applyBorder="1">
      <alignment vertical="top"/>
    </xf>
    <xf numFmtId="185" fontId="32" fillId="0" borderId="0" xfId="0" applyFont="1" applyBorder="1">
      <alignment vertical="top"/>
    </xf>
    <xf numFmtId="185" fontId="32" fillId="0" borderId="0" xfId="0" applyFont="1" applyFill="1" applyBorder="1">
      <alignment vertical="top"/>
    </xf>
    <xf numFmtId="164" fontId="30" fillId="9" borderId="7" xfId="0" applyNumberFormat="1" applyFont="1" applyFill="1" applyBorder="1">
      <alignment vertical="top"/>
    </xf>
    <xf numFmtId="3" fontId="32" fillId="0" borderId="0" xfId="0" applyNumberFormat="1" applyFont="1" applyBorder="1">
      <alignment vertical="top"/>
    </xf>
    <xf numFmtId="43" fontId="32" fillId="13" borderId="0" xfId="5" applyNumberFormat="1" applyFont="1" applyFill="1">
      <alignment vertical="top"/>
    </xf>
    <xf numFmtId="164" fontId="31" fillId="13" borderId="0" xfId="19" applyNumberFormat="1" applyFont="1" applyFill="1" applyBorder="1" applyAlignment="1"/>
    <xf numFmtId="172" fontId="31" fillId="13" borderId="0" xfId="19" applyNumberFormat="1" applyFont="1" applyFill="1" applyBorder="1" applyAlignment="1"/>
    <xf numFmtId="171" fontId="31" fillId="13" borderId="0" xfId="19" applyNumberFormat="1" applyFont="1" applyFill="1" applyBorder="1" applyAlignment="1">
      <alignment horizontal="right"/>
    </xf>
    <xf numFmtId="172" fontId="31" fillId="13" borderId="0" xfId="19" applyNumberFormat="1" applyFont="1" applyFill="1" applyBorder="1" applyAlignment="1">
      <alignment horizontal="right"/>
    </xf>
    <xf numFmtId="180" fontId="32" fillId="0" borderId="0" xfId="0" applyNumberFormat="1" applyFont="1" applyFill="1" applyBorder="1">
      <alignment vertical="top"/>
    </xf>
    <xf numFmtId="180" fontId="64" fillId="0" borderId="0" xfId="0" applyNumberFormat="1" applyFont="1">
      <alignment vertical="top"/>
    </xf>
    <xf numFmtId="165" fontId="74" fillId="0" borderId="0" xfId="0" applyNumberFormat="1" applyFont="1">
      <alignment vertical="top"/>
    </xf>
    <xf numFmtId="169" fontId="0" fillId="0" borderId="0" xfId="5" applyNumberFormat="1" applyFont="1">
      <alignment vertical="top"/>
    </xf>
    <xf numFmtId="185" fontId="0" fillId="0" borderId="0" xfId="0" applyAlignment="1">
      <alignment horizontal="center"/>
    </xf>
    <xf numFmtId="185" fontId="62" fillId="0" borderId="29" xfId="0" applyFont="1" applyBorder="1" applyAlignment="1">
      <alignment horizontal="center"/>
    </xf>
    <xf numFmtId="6" fontId="0" fillId="0" borderId="29" xfId="0" applyNumberFormat="1" applyBorder="1">
      <alignment vertical="top"/>
    </xf>
    <xf numFmtId="185" fontId="17" fillId="0" borderId="30" xfId="0" applyFont="1" applyBorder="1">
      <alignment vertical="top"/>
    </xf>
    <xf numFmtId="185" fontId="17" fillId="0" borderId="31" xfId="0" applyFont="1" applyBorder="1">
      <alignment vertical="top"/>
    </xf>
    <xf numFmtId="185" fontId="17" fillId="0" borderId="32" xfId="0" applyFont="1" applyBorder="1">
      <alignment vertical="top"/>
    </xf>
    <xf numFmtId="185" fontId="0" fillId="0" borderId="30" xfId="0" applyBorder="1">
      <alignment vertical="top"/>
    </xf>
    <xf numFmtId="185" fontId="17" fillId="0" borderId="33" xfId="0" applyFont="1" applyBorder="1">
      <alignment vertical="top"/>
    </xf>
    <xf numFmtId="180" fontId="75" fillId="0" borderId="0" xfId="0" applyNumberFormat="1" applyFont="1">
      <alignment vertical="top"/>
    </xf>
    <xf numFmtId="175" fontId="76" fillId="0" borderId="0" xfId="35" applyFont="1" applyFill="1"/>
    <xf numFmtId="10" fontId="77" fillId="0" borderId="0" xfId="32" applyNumberFormat="1" applyFont="1" applyFill="1"/>
    <xf numFmtId="2" fontId="78" fillId="0" borderId="0" xfId="18" applyNumberFormat="1" applyFont="1" applyFill="1" applyAlignment="1" applyProtection="1"/>
    <xf numFmtId="9" fontId="78" fillId="0" borderId="0" xfId="18" applyNumberFormat="1" applyFont="1" applyFill="1" applyAlignment="1" applyProtection="1"/>
    <xf numFmtId="10" fontId="78" fillId="0" borderId="0" xfId="18" applyNumberFormat="1" applyFont="1" applyFill="1" applyAlignment="1" applyProtection="1"/>
    <xf numFmtId="165" fontId="32" fillId="0" borderId="0" xfId="31" applyNumberFormat="1" applyFont="1" applyFill="1" applyBorder="1">
      <alignment vertical="top"/>
    </xf>
    <xf numFmtId="10" fontId="79" fillId="0" borderId="2" xfId="18" applyNumberFormat="1" applyFont="1" applyFill="1" applyBorder="1" applyAlignment="1" applyProtection="1"/>
    <xf numFmtId="164" fontId="30" fillId="0" borderId="0" xfId="0" applyNumberFormat="1" applyFont="1">
      <alignment vertical="top"/>
    </xf>
    <xf numFmtId="164" fontId="32" fillId="0" borderId="0" xfId="0" applyNumberFormat="1" applyFont="1">
      <alignment vertical="top"/>
    </xf>
    <xf numFmtId="164" fontId="17" fillId="13" borderId="0" xfId="0" applyNumberFormat="1" applyFont="1" applyFill="1">
      <alignment vertical="top"/>
    </xf>
    <xf numFmtId="167" fontId="31" fillId="0" borderId="0" xfId="19" applyNumberFormat="1" applyFont="1" applyFill="1" applyBorder="1" applyAlignment="1">
      <alignment horizontal="right"/>
    </xf>
    <xf numFmtId="169" fontId="80" fillId="0" borderId="24" xfId="5" applyNumberFormat="1" applyFont="1" applyBorder="1">
      <alignment vertical="top"/>
    </xf>
    <xf numFmtId="169" fontId="31" fillId="0" borderId="0" xfId="5" applyNumberFormat="1" applyFont="1" applyBorder="1" applyAlignment="1"/>
    <xf numFmtId="169" fontId="31" fillId="13" borderId="0" xfId="5" applyNumberFormat="1" applyFont="1" applyFill="1" applyBorder="1" applyAlignment="1"/>
    <xf numFmtId="185" fontId="17" fillId="0" borderId="0" xfId="5" applyFont="1" applyFill="1" applyBorder="1" applyAlignment="1">
      <alignment horizontal="right"/>
    </xf>
    <xf numFmtId="165" fontId="64" fillId="0" borderId="9" xfId="0" applyNumberFormat="1" applyFont="1" applyBorder="1">
      <alignment vertical="top"/>
    </xf>
    <xf numFmtId="185" fontId="32" fillId="0" borderId="0" xfId="5" applyFont="1" applyFill="1" applyBorder="1" applyAlignment="1">
      <alignment horizontal="right"/>
    </xf>
    <xf numFmtId="168" fontId="0" fillId="0" borderId="0" xfId="5" applyNumberFormat="1" applyFont="1">
      <alignment vertical="top"/>
    </xf>
    <xf numFmtId="0" fontId="17" fillId="0" borderId="2" xfId="19" applyFont="1" applyBorder="1" applyAlignment="1">
      <alignment horizontal="left" indent="1"/>
    </xf>
    <xf numFmtId="0" fontId="18" fillId="0" borderId="2" xfId="19" applyFont="1" applyBorder="1"/>
    <xf numFmtId="0" fontId="17" fillId="0" borderId="2" xfId="19" applyFont="1" applyBorder="1"/>
    <xf numFmtId="164" fontId="18" fillId="0" borderId="2" xfId="19" applyNumberFormat="1" applyFont="1" applyBorder="1" applyAlignment="1">
      <alignment horizontal="center"/>
    </xf>
    <xf numFmtId="164" fontId="17" fillId="0" borderId="7" xfId="19" applyNumberFormat="1" applyFont="1" applyBorder="1" applyAlignment="1"/>
    <xf numFmtId="167" fontId="17" fillId="0" borderId="2" xfId="19" applyNumberFormat="1" applyFont="1" applyBorder="1" applyAlignment="1"/>
    <xf numFmtId="186" fontId="23" fillId="0" borderId="0" xfId="31" applyFont="1" applyFill="1" applyBorder="1" applyAlignment="1"/>
    <xf numFmtId="181" fontId="21" fillId="0" borderId="0" xfId="5" applyNumberFormat="1" applyFont="1" applyFill="1" applyBorder="1" applyAlignment="1"/>
    <xf numFmtId="183" fontId="23" fillId="0" borderId="9" xfId="0" applyNumberFormat="1" applyFont="1" applyFill="1" applyBorder="1" applyAlignment="1"/>
    <xf numFmtId="167" fontId="30" fillId="0" borderId="0" xfId="19" applyNumberFormat="1" applyFont="1" applyFill="1" applyBorder="1" applyAlignment="1">
      <alignment horizontal="right"/>
    </xf>
    <xf numFmtId="9" fontId="23" fillId="0" borderId="9" xfId="0" applyNumberFormat="1" applyFont="1" applyFill="1" applyBorder="1" applyAlignment="1"/>
    <xf numFmtId="9" fontId="21" fillId="0" borderId="0" xfId="31" applyNumberFormat="1" applyFont="1" applyFill="1" applyBorder="1" applyAlignment="1"/>
    <xf numFmtId="165" fontId="23" fillId="0" borderId="9" xfId="0" applyNumberFormat="1" applyFont="1" applyFill="1" applyBorder="1" applyAlignment="1"/>
    <xf numFmtId="186" fontId="18" fillId="0" borderId="0" xfId="31" applyFont="1" applyBorder="1" applyAlignment="1">
      <alignment horizontal="center"/>
    </xf>
    <xf numFmtId="185" fontId="21" fillId="0" borderId="3" xfId="5" applyFont="1" applyFill="1" applyBorder="1" applyAlignment="1"/>
    <xf numFmtId="191" fontId="32" fillId="0" borderId="0" xfId="31" applyNumberFormat="1" applyFont="1" applyBorder="1" applyAlignment="1">
      <alignment horizontal="center"/>
    </xf>
    <xf numFmtId="0" fontId="1" fillId="0" borderId="0" xfId="50" applyFont="1"/>
    <xf numFmtId="0" fontId="1" fillId="0" borderId="9" xfId="50" applyFont="1" applyBorder="1"/>
    <xf numFmtId="17" fontId="71" fillId="11" borderId="0" xfId="50" applyNumberFormat="1" applyFont="1" applyFill="1"/>
    <xf numFmtId="0" fontId="69" fillId="12" borderId="0" xfId="50" applyFont="1" applyFill="1" applyBorder="1" applyAlignment="1">
      <alignment horizontal="center"/>
    </xf>
    <xf numFmtId="0" fontId="70" fillId="0" borderId="0" xfId="50" applyFont="1"/>
    <xf numFmtId="0" fontId="1" fillId="0" borderId="0" xfId="50" applyFont="1" applyAlignment="1">
      <alignment vertical="center"/>
    </xf>
    <xf numFmtId="0" fontId="1" fillId="0" borderId="0" xfId="50" applyFont="1" applyBorder="1"/>
    <xf numFmtId="0" fontId="1" fillId="0" borderId="0" xfId="50" applyFont="1" applyBorder="1" applyAlignment="1">
      <alignment horizontal="left" indent="1"/>
    </xf>
    <xf numFmtId="181" fontId="1" fillId="0" borderId="9" xfId="50" applyNumberFormat="1" applyFont="1" applyBorder="1"/>
    <xf numFmtId="0" fontId="70" fillId="0" borderId="0" xfId="50" applyFont="1" applyBorder="1" applyAlignment="1">
      <alignment horizontal="left"/>
    </xf>
    <xf numFmtId="0" fontId="1" fillId="0" borderId="0" xfId="50" applyFont="1" applyBorder="1" applyAlignment="1">
      <alignment horizontal="left"/>
    </xf>
    <xf numFmtId="43" fontId="1" fillId="0" borderId="9" xfId="50" applyNumberFormat="1" applyFont="1" applyBorder="1"/>
    <xf numFmtId="0" fontId="1" fillId="8" borderId="0" xfId="50" applyFont="1" applyFill="1" applyBorder="1"/>
    <xf numFmtId="0" fontId="69" fillId="11" borderId="0" xfId="50" applyFont="1" applyFill="1"/>
    <xf numFmtId="0" fontId="69" fillId="11" borderId="9" xfId="50" applyFont="1" applyFill="1" applyBorder="1"/>
    <xf numFmtId="0" fontId="69" fillId="0" borderId="0" xfId="50" applyFont="1" applyFill="1"/>
    <xf numFmtId="0" fontId="69" fillId="0" borderId="9" xfId="50" applyFont="1" applyFill="1" applyBorder="1"/>
    <xf numFmtId="0" fontId="70" fillId="8" borderId="0" xfId="50" applyFont="1" applyFill="1" applyAlignment="1">
      <alignment horizontal="center"/>
    </xf>
    <xf numFmtId="0" fontId="72" fillId="0" borderId="0" xfId="50" applyFont="1"/>
    <xf numFmtId="2" fontId="73" fillId="8" borderId="0" xfId="50" applyNumberFormat="1" applyFont="1" applyFill="1"/>
    <xf numFmtId="2" fontId="1" fillId="0" borderId="0" xfId="50" applyNumberFormat="1" applyFont="1"/>
    <xf numFmtId="2" fontId="1" fillId="0" borderId="0" xfId="50" applyNumberFormat="1" applyFont="1" applyFill="1"/>
    <xf numFmtId="2" fontId="73" fillId="0" borderId="6" xfId="50" applyNumberFormat="1" applyFont="1" applyBorder="1"/>
    <xf numFmtId="2" fontId="1" fillId="0" borderId="6" xfId="50" applyNumberFormat="1" applyFont="1" applyBorder="1"/>
    <xf numFmtId="2" fontId="73" fillId="0" borderId="0" xfId="50" applyNumberFormat="1" applyFont="1"/>
    <xf numFmtId="2" fontId="70" fillId="0" borderId="3" xfId="50" applyNumberFormat="1" applyFont="1" applyFill="1" applyBorder="1"/>
    <xf numFmtId="43" fontId="51" fillId="0" borderId="9" xfId="50" applyNumberFormat="1" applyFont="1" applyBorder="1"/>
    <xf numFmtId="2" fontId="70" fillId="0" borderId="0" xfId="50" applyNumberFormat="1" applyFont="1" applyFill="1" applyAlignment="1">
      <alignment horizontal="center"/>
    </xf>
    <xf numFmtId="2" fontId="73" fillId="0" borderId="6" xfId="50" applyNumberFormat="1" applyFont="1" applyFill="1" applyBorder="1"/>
    <xf numFmtId="0" fontId="70" fillId="0" borderId="0" xfId="50" applyFont="1" applyBorder="1"/>
    <xf numFmtId="2" fontId="1" fillId="0" borderId="2" xfId="50" applyNumberFormat="1" applyFont="1" applyBorder="1"/>
    <xf numFmtId="0" fontId="70" fillId="0" borderId="0" xfId="50" applyFont="1" applyFill="1" applyBorder="1"/>
    <xf numFmtId="2" fontId="70" fillId="0" borderId="2" xfId="50" applyNumberFormat="1" applyFont="1" applyBorder="1"/>
    <xf numFmtId="0" fontId="1" fillId="0" borderId="9" xfId="50" applyFont="1" applyBorder="1" applyAlignment="1">
      <alignment vertical="center"/>
    </xf>
    <xf numFmtId="2" fontId="1" fillId="0" borderId="0" xfId="50" applyNumberFormat="1" applyFont="1" applyAlignment="1">
      <alignment vertical="center"/>
    </xf>
    <xf numFmtId="0" fontId="72" fillId="0" borderId="0" xfId="50" applyFont="1" applyAlignment="1">
      <alignment vertical="center"/>
    </xf>
    <xf numFmtId="8" fontId="51" fillId="0" borderId="0" xfId="50" applyNumberFormat="1" applyFont="1" applyAlignment="1">
      <alignment vertical="center"/>
    </xf>
    <xf numFmtId="8" fontId="1" fillId="0" borderId="0" xfId="50" applyNumberFormat="1" applyFont="1" applyAlignment="1">
      <alignment vertical="center"/>
    </xf>
    <xf numFmtId="0" fontId="70" fillId="0" borderId="0" xfId="50" applyFont="1" applyAlignment="1">
      <alignment vertical="center"/>
    </xf>
    <xf numFmtId="44" fontId="70" fillId="0" borderId="2" xfId="50" applyNumberFormat="1" applyFont="1" applyBorder="1" applyAlignment="1">
      <alignment vertical="center"/>
    </xf>
    <xf numFmtId="181" fontId="1" fillId="0" borderId="0" xfId="50" applyNumberFormat="1" applyFont="1"/>
    <xf numFmtId="2" fontId="73" fillId="0" borderId="0" xfId="50" applyNumberFormat="1" applyFont="1" applyBorder="1"/>
    <xf numFmtId="2" fontId="1" fillId="0" borderId="0" xfId="50" applyNumberFormat="1" applyFont="1" applyBorder="1"/>
    <xf numFmtId="44" fontId="70" fillId="0" borderId="0" xfId="50" applyNumberFormat="1" applyFont="1" applyBorder="1" applyAlignment="1">
      <alignment vertical="center"/>
    </xf>
    <xf numFmtId="43" fontId="1" fillId="0" borderId="0" xfId="50" applyNumberFormat="1" applyFont="1"/>
    <xf numFmtId="184" fontId="24" fillId="0" borderId="0" xfId="0" applyNumberFormat="1" applyFont="1" applyFill="1" applyBorder="1" applyAlignment="1"/>
    <xf numFmtId="190" fontId="1" fillId="0" borderId="0" xfId="5" applyNumberFormat="1" applyFont="1" applyAlignment="1">
      <alignment vertical="center"/>
    </xf>
    <xf numFmtId="192" fontId="1" fillId="0" borderId="0" xfId="5" applyNumberFormat="1" applyFont="1" applyAlignment="1">
      <alignment vertical="center"/>
    </xf>
    <xf numFmtId="0" fontId="81" fillId="0" borderId="0" xfId="50" applyFont="1" applyBorder="1"/>
    <xf numFmtId="181" fontId="82" fillId="0" borderId="9" xfId="50" applyNumberFormat="1" applyFont="1" applyBorder="1"/>
    <xf numFmtId="165" fontId="82" fillId="0" borderId="9" xfId="50" applyNumberFormat="1" applyFont="1" applyBorder="1"/>
    <xf numFmtId="43" fontId="82" fillId="0" borderId="9" xfId="50" applyNumberFormat="1" applyFont="1" applyBorder="1"/>
    <xf numFmtId="186" fontId="17" fillId="0" borderId="9" xfId="31" applyFont="1" applyFill="1" applyBorder="1" applyAlignment="1"/>
    <xf numFmtId="165" fontId="65" fillId="0" borderId="0" xfId="31" applyNumberFormat="1" applyFont="1" applyBorder="1">
      <alignment vertical="top"/>
    </xf>
    <xf numFmtId="184" fontId="23" fillId="0" borderId="0" xfId="0" applyNumberFormat="1" applyFont="1" applyFill="1" applyBorder="1" applyAlignment="1"/>
    <xf numFmtId="190" fontId="25" fillId="0" borderId="0" xfId="5" applyNumberFormat="1" applyFont="1" applyFill="1" applyBorder="1" applyAlignment="1"/>
    <xf numFmtId="190" fontId="25" fillId="0" borderId="9" xfId="5" applyNumberFormat="1" applyFont="1" applyFill="1" applyBorder="1" applyAlignment="1"/>
    <xf numFmtId="17" fontId="71" fillId="0" borderId="0" xfId="50" applyNumberFormat="1" applyFont="1" applyFill="1"/>
    <xf numFmtId="0" fontId="69" fillId="0" borderId="0" xfId="50" applyFont="1" applyFill="1" applyBorder="1" applyAlignment="1">
      <alignment horizontal="center"/>
    </xf>
    <xf numFmtId="8" fontId="24" fillId="0" borderId="0" xfId="0" applyNumberFormat="1" applyFont="1" applyFill="1" applyBorder="1" applyAlignment="1"/>
    <xf numFmtId="165" fontId="17" fillId="0" borderId="0" xfId="31" applyNumberFormat="1" applyFont="1" applyFill="1" applyBorder="1">
      <alignment vertical="top"/>
    </xf>
    <xf numFmtId="44" fontId="17" fillId="0" borderId="0" xfId="0" applyNumberFormat="1" applyFont="1" applyFill="1" applyBorder="1" applyAlignment="1">
      <alignment horizontal="left" vertical="top" indent="1"/>
    </xf>
    <xf numFmtId="164" fontId="32" fillId="13" borderId="3" xfId="0" applyNumberFormat="1" applyFont="1" applyFill="1" applyBorder="1">
      <alignment vertical="top"/>
    </xf>
    <xf numFmtId="164" fontId="17" fillId="13" borderId="0" xfId="0" applyNumberFormat="1" applyFont="1" applyFill="1" applyBorder="1">
      <alignment vertical="top"/>
    </xf>
    <xf numFmtId="164" fontId="18" fillId="13" borderId="2" xfId="0" applyNumberFormat="1" applyFont="1" applyFill="1" applyBorder="1">
      <alignment vertical="top"/>
    </xf>
    <xf numFmtId="164" fontId="18" fillId="13" borderId="8" xfId="0" applyNumberFormat="1" applyFont="1" applyFill="1" applyBorder="1">
      <alignment vertical="top"/>
    </xf>
    <xf numFmtId="10" fontId="40" fillId="0" borderId="0" xfId="0" applyNumberFormat="1" applyFont="1">
      <alignment vertical="top"/>
    </xf>
    <xf numFmtId="193" fontId="32" fillId="0" borderId="0" xfId="5" applyNumberFormat="1" applyFont="1" applyBorder="1">
      <alignment vertical="top"/>
    </xf>
    <xf numFmtId="193" fontId="30" fillId="0" borderId="0" xfId="5" applyNumberFormat="1" applyFont="1" applyBorder="1">
      <alignment vertical="top"/>
    </xf>
    <xf numFmtId="193" fontId="30" fillId="0" borderId="0" xfId="5" applyNumberFormat="1" applyFont="1" applyFill="1" applyBorder="1">
      <alignment vertical="top"/>
    </xf>
    <xf numFmtId="44" fontId="25" fillId="0" borderId="0" xfId="0" applyNumberFormat="1" applyFont="1" applyFill="1" applyBorder="1" applyAlignment="1"/>
    <xf numFmtId="185" fontId="0" fillId="0" borderId="34" xfId="0" applyBorder="1">
      <alignment vertical="top"/>
    </xf>
    <xf numFmtId="185" fontId="0" fillId="0" borderId="35" xfId="0" applyBorder="1">
      <alignment vertical="top"/>
    </xf>
    <xf numFmtId="185" fontId="62" fillId="0" borderId="34" xfId="0" applyFont="1" applyBorder="1">
      <alignment vertical="top"/>
    </xf>
    <xf numFmtId="185" fontId="62" fillId="0" borderId="36" xfId="0" applyFont="1" applyBorder="1">
      <alignment vertical="top"/>
    </xf>
    <xf numFmtId="185" fontId="62" fillId="0" borderId="12" xfId="0" applyFont="1" applyBorder="1">
      <alignment vertical="top"/>
    </xf>
    <xf numFmtId="185" fontId="62" fillId="0" borderId="37" xfId="0" applyFont="1" applyBorder="1">
      <alignment vertical="top"/>
    </xf>
    <xf numFmtId="185" fontId="62" fillId="0" borderId="5" xfId="0" applyFont="1" applyBorder="1">
      <alignment vertical="top"/>
    </xf>
    <xf numFmtId="185" fontId="62" fillId="0" borderId="4" xfId="0" applyFont="1" applyBorder="1">
      <alignment vertical="top"/>
    </xf>
    <xf numFmtId="185" fontId="62" fillId="0" borderId="38" xfId="0" applyFont="1" applyBorder="1">
      <alignment vertical="top"/>
    </xf>
    <xf numFmtId="185" fontId="0" fillId="0" borderId="0" xfId="0" applyBorder="1" applyAlignment="1">
      <alignment horizontal="center" vertical="top"/>
    </xf>
    <xf numFmtId="186" fontId="0" fillId="0" borderId="0" xfId="31" applyFont="1">
      <alignment vertical="top"/>
    </xf>
    <xf numFmtId="186" fontId="0" fillId="0" borderId="0" xfId="31" applyFont="1" applyBorder="1">
      <alignment vertical="top"/>
    </xf>
    <xf numFmtId="186" fontId="0" fillId="0" borderId="35" xfId="31" applyFont="1" applyBorder="1">
      <alignment vertical="top"/>
    </xf>
    <xf numFmtId="186" fontId="0" fillId="0" borderId="34" xfId="31" applyFont="1" applyBorder="1">
      <alignment vertical="top"/>
    </xf>
    <xf numFmtId="186" fontId="0" fillId="0" borderId="34" xfId="0" applyNumberFormat="1" applyBorder="1">
      <alignment vertical="top"/>
    </xf>
    <xf numFmtId="186" fontId="0" fillId="0" borderId="0" xfId="31" applyNumberFormat="1" applyFont="1" applyBorder="1">
      <alignment vertical="top"/>
    </xf>
    <xf numFmtId="186" fontId="0" fillId="0" borderId="35" xfId="31" applyNumberFormat="1" applyFont="1" applyBorder="1">
      <alignment vertical="top"/>
    </xf>
    <xf numFmtId="186" fontId="0" fillId="0" borderId="34" xfId="31" applyNumberFormat="1" applyFont="1" applyBorder="1">
      <alignment vertical="top"/>
    </xf>
    <xf numFmtId="185" fontId="85" fillId="14" borderId="5" xfId="0" applyFont="1" applyFill="1" applyBorder="1" applyAlignment="1">
      <alignment horizontal="center" vertical="top"/>
    </xf>
    <xf numFmtId="185" fontId="85" fillId="14" borderId="4" xfId="0" applyFont="1" applyFill="1" applyBorder="1" applyAlignment="1">
      <alignment horizontal="center" vertical="top"/>
    </xf>
    <xf numFmtId="185" fontId="85" fillId="14" borderId="38" xfId="0" applyFont="1" applyFill="1" applyBorder="1" applyAlignment="1">
      <alignment horizontal="center" vertical="top"/>
    </xf>
    <xf numFmtId="185" fontId="0" fillId="0" borderId="39" xfId="0" applyBorder="1">
      <alignment vertical="top"/>
    </xf>
    <xf numFmtId="185" fontId="0" fillId="0" borderId="40" xfId="0" applyBorder="1">
      <alignment vertical="top"/>
    </xf>
    <xf numFmtId="185" fontId="0" fillId="0" borderId="41" xfId="0" applyBorder="1">
      <alignment vertical="top"/>
    </xf>
    <xf numFmtId="185" fontId="0" fillId="0" borderId="40" xfId="0" applyBorder="1" applyAlignment="1">
      <alignment horizontal="center" vertical="top"/>
    </xf>
    <xf numFmtId="185" fontId="86" fillId="0" borderId="0" xfId="0" applyFont="1" applyAlignment="1">
      <alignment horizontal="center" vertical="top"/>
    </xf>
    <xf numFmtId="185" fontId="87" fillId="0" borderId="0" xfId="0" applyFont="1" applyAlignment="1">
      <alignment horizontal="center" vertical="top"/>
    </xf>
  </cellXfs>
  <cellStyles count="52">
    <cellStyle name="20% - Accent1 2" xfId="1"/>
    <cellStyle name="20% - Accent1 2 2" xfId="2"/>
    <cellStyle name="20% - Accent1 3" xfId="3"/>
    <cellStyle name="60% - Accent1" xfId="4" builtinId="32"/>
    <cellStyle name="Comma" xfId="5" builtinId="3" customBuiltin="1"/>
    <cellStyle name="Comma 2" xfId="6"/>
    <cellStyle name="Comma 3" xfId="7"/>
    <cellStyle name="Comma 3 2" xfId="8"/>
    <cellStyle name="Comma 3 2 2" xfId="9"/>
    <cellStyle name="Comma 4" xfId="10"/>
    <cellStyle name="Comma 5" xfId="11"/>
    <cellStyle name="Comma 6" xfId="38"/>
    <cellStyle name="Comma 6 2" xfId="39"/>
    <cellStyle name="Comma 7" xfId="46"/>
    <cellStyle name="Comma 7 2" xfId="51"/>
    <cellStyle name="Currency" xfId="37" builtinId="4"/>
    <cellStyle name="Currency 2" xfId="12"/>
    <cellStyle name="Currency 3" xfId="40"/>
    <cellStyle name="DateLong" xfId="48"/>
    <cellStyle name="DateShort" xfId="49"/>
    <cellStyle name="Factor" xfId="47"/>
    <cellStyle name="Good" xfId="13" builtinId="26"/>
    <cellStyle name="hard no" xfId="14"/>
    <cellStyle name="hard no 2" xfId="15"/>
    <cellStyle name="hardno" xfId="16"/>
    <cellStyle name="Normal" xfId="0" builtinId="0" customBuiltin="1"/>
    <cellStyle name="Normal 10" xfId="41"/>
    <cellStyle name="Normal 10 2" xfId="42"/>
    <cellStyle name="Normal 11" xfId="45"/>
    <cellStyle name="Normal 11 2" xfId="50"/>
    <cellStyle name="Normal 2" xfId="17"/>
    <cellStyle name="Normal 3" xfId="18"/>
    <cellStyle name="Normal 3 2" xfId="19"/>
    <cellStyle name="Normal 4" xfId="20"/>
    <cellStyle name="Normal 5" xfId="21"/>
    <cellStyle name="Normal 5 2" xfId="22"/>
    <cellStyle name="Normal 6" xfId="23"/>
    <cellStyle name="Normal 6 2" xfId="24"/>
    <cellStyle name="Normal 7" xfId="25"/>
    <cellStyle name="Normal 7 2" xfId="26"/>
    <cellStyle name="Normal 8" xfId="27"/>
    <cellStyle name="Normal 9" xfId="28"/>
    <cellStyle name="Normal_st_dcf" xfId="29"/>
    <cellStyle name="number" xfId="30"/>
    <cellStyle name="Percent" xfId="31" builtinId="5" customBuiltin="1"/>
    <cellStyle name="Percent 2" xfId="32"/>
    <cellStyle name="Percent 3" xfId="33"/>
    <cellStyle name="Percent 3 2" xfId="34"/>
    <cellStyle name="Percent 4" xfId="43"/>
    <cellStyle name="Percent 4 2" xfId="44"/>
    <cellStyle name="PwC Normal" xfId="35"/>
    <cellStyle name="xTitle B&amp;W" xfId="36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428785</xdr:colOff>
      <xdr:row>7</xdr:row>
      <xdr:rowOff>0</xdr:rowOff>
    </xdr:from>
    <xdr:to>
      <xdr:col>9</xdr:col>
      <xdr:colOff>67682</xdr:colOff>
      <xdr:row>31</xdr:row>
      <xdr:rowOff>137578</xdr:rowOff>
    </xdr:to>
    <xdr:grpSp>
      <xdr:nvGrpSpPr>
        <xdr:cNvPr id="3" name="Group 2"/>
        <xdr:cNvGrpSpPr/>
      </xdr:nvGrpSpPr>
      <xdr:grpSpPr>
        <a:xfrm>
          <a:off x="428785" y="1192306"/>
          <a:ext cx="7070638" cy="4225484"/>
          <a:chOff x="428785" y="1192306"/>
          <a:chExt cx="6972026" cy="4225484"/>
        </a:xfrm>
      </xdr:grpSpPr>
      <xdr:grpSp>
        <xdr:nvGrpSpPr>
          <xdr:cNvPr id="2" name="Group 1"/>
          <xdr:cNvGrpSpPr/>
        </xdr:nvGrpSpPr>
        <xdr:grpSpPr>
          <a:xfrm>
            <a:off x="428785" y="1192306"/>
            <a:ext cx="6972026" cy="4225484"/>
            <a:chOff x="2616589" y="832367"/>
            <a:chExt cx="6315845" cy="4511503"/>
          </a:xfrm>
        </xdr:grpSpPr>
        <xdr:sp macro="" textlink="">
          <xdr:nvSpPr>
            <xdr:cNvPr id="4" name="Rectangle 3"/>
            <xdr:cNvSpPr/>
          </xdr:nvSpPr>
          <xdr:spPr>
            <a:xfrm>
              <a:off x="2756946" y="2776427"/>
              <a:ext cx="1512887" cy="461665"/>
            </a:xfrm>
            <a:prstGeom prst="rect">
              <a:avLst/>
            </a:prstGeom>
            <a:ln>
              <a:noFill/>
            </a:ln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wrap="square" anchor="ctr">
              <a:no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en-NZ" sz="1200"/>
                <a:t>Opex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 typeface="Arial" pitchFamily="34" charset="0"/>
                <a:buChar char="•"/>
                <a:tabLst/>
                <a:defRPr/>
              </a:pPr>
              <a:r>
                <a:rPr kumimoji="0" lang="en-NZ" sz="900" b="0" i="0" u="none" strike="noStrike" kern="0" cap="none" spc="0" normalizeH="0" baseline="0" noProof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Opex Forecasts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 typeface="Arial" pitchFamily="34" charset="0"/>
                <a:buChar char="•"/>
                <a:tabLst/>
                <a:defRPr/>
              </a:pPr>
              <a:r>
                <a:rPr kumimoji="0" lang="en-NZ" sz="900" b="0" i="0" u="none" strike="noStrike" kern="0" cap="none" spc="0" normalizeH="0" baseline="0" noProof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Allocation to pricing segments</a:t>
              </a:r>
              <a:endParaRPr lang="en-NZ" sz="1200"/>
            </a:p>
          </xdr:txBody>
        </xdr:sp>
        <xdr:grpSp>
          <xdr:nvGrpSpPr>
            <xdr:cNvPr id="6" name="Group 5"/>
            <xdr:cNvGrpSpPr/>
          </xdr:nvGrpSpPr>
          <xdr:grpSpPr>
            <a:xfrm>
              <a:off x="2616589" y="832367"/>
              <a:ext cx="6315845" cy="3881825"/>
              <a:chOff x="2592388" y="0"/>
              <a:chExt cx="6343481" cy="3768486"/>
            </a:xfrm>
          </xdr:grpSpPr>
          <xdr:sp macro="" textlink="">
            <xdr:nvSpPr>
              <xdr:cNvPr id="14" name="TextBox 6"/>
              <xdr:cNvSpPr txBox="1">
                <a:spLocks noChangeArrowheads="1"/>
              </xdr:cNvSpPr>
            </xdr:nvSpPr>
            <xdr:spPr bwMode="auto">
              <a:xfrm>
                <a:off x="2592388" y="0"/>
                <a:ext cx="1727200" cy="45114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NZ">
                    <a:solidFill>
                      <a:schemeClr val="tx1"/>
                    </a:solidFill>
                    <a:latin typeface="Verdana" pitchFamily="34" charset="0"/>
                  </a:rPr>
                  <a:t>Inputs (+ calculation at input</a:t>
                </a:r>
                <a:r>
                  <a:rPr lang="en-NZ" baseline="0">
                    <a:solidFill>
                      <a:schemeClr val="tx1"/>
                    </a:solidFill>
                    <a:latin typeface="Verdana" pitchFamily="34" charset="0"/>
                  </a:rPr>
                  <a:t> level</a:t>
                </a:r>
                <a:r>
                  <a:rPr lang="en-NZ">
                    <a:solidFill>
                      <a:schemeClr val="tx1"/>
                    </a:solidFill>
                    <a:latin typeface="Verdana" pitchFamily="34" charset="0"/>
                  </a:rPr>
                  <a:t>)</a:t>
                </a:r>
              </a:p>
            </xdr:txBody>
          </xdr:sp>
          <xdr:sp macro="" textlink="">
            <xdr:nvSpPr>
              <xdr:cNvPr id="16" name="TextBox 8"/>
              <xdr:cNvSpPr txBox="1">
                <a:spLocks noChangeArrowheads="1"/>
              </xdr:cNvSpPr>
            </xdr:nvSpPr>
            <xdr:spPr bwMode="auto">
              <a:xfrm>
                <a:off x="5040313" y="0"/>
                <a:ext cx="1727200" cy="45114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NZ">
                    <a:solidFill>
                      <a:schemeClr val="tx1"/>
                    </a:solidFill>
                    <a:latin typeface="Verdana" pitchFamily="34" charset="0"/>
                  </a:rPr>
                  <a:t>Full</a:t>
                </a:r>
                <a:r>
                  <a:rPr lang="en-NZ" baseline="0">
                    <a:solidFill>
                      <a:schemeClr val="tx1"/>
                    </a:solidFill>
                    <a:latin typeface="Verdana" pitchFamily="34" charset="0"/>
                  </a:rPr>
                  <a:t> cost of service ca</a:t>
                </a:r>
                <a:r>
                  <a:rPr lang="en-NZ">
                    <a:solidFill>
                      <a:schemeClr val="tx1"/>
                    </a:solidFill>
                    <a:latin typeface="Verdana" pitchFamily="34" charset="0"/>
                  </a:rPr>
                  <a:t>ulations</a:t>
                </a:r>
              </a:p>
            </xdr:txBody>
          </xdr:sp>
          <xdr:sp macro="" textlink="">
            <xdr:nvSpPr>
              <xdr:cNvPr id="17" name="TextBox 9"/>
              <xdr:cNvSpPr txBox="1">
                <a:spLocks noChangeArrowheads="1"/>
              </xdr:cNvSpPr>
            </xdr:nvSpPr>
            <xdr:spPr bwMode="auto">
              <a:xfrm>
                <a:off x="7207082" y="27877"/>
                <a:ext cx="1728787" cy="2734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NZ">
                    <a:solidFill>
                      <a:schemeClr val="tx1"/>
                    </a:solidFill>
                    <a:latin typeface="Verdana" pitchFamily="34" charset="0"/>
                  </a:rPr>
                  <a:t>Output</a:t>
                </a:r>
                <a:r>
                  <a:rPr lang="en-NZ" baseline="0">
                    <a:solidFill>
                      <a:schemeClr val="tx1"/>
                    </a:solidFill>
                    <a:latin typeface="Verdana" pitchFamily="34" charset="0"/>
                  </a:rPr>
                  <a:t> p</a:t>
                </a:r>
                <a:r>
                  <a:rPr lang="en-NZ">
                    <a:solidFill>
                      <a:schemeClr val="tx1"/>
                    </a:solidFill>
                    <a:latin typeface="Verdana" pitchFamily="34" charset="0"/>
                  </a:rPr>
                  <a:t>rice paths </a:t>
                </a:r>
              </a:p>
            </xdr:txBody>
          </xdr:sp>
          <xdr:sp macro="" textlink="">
            <xdr:nvSpPr>
              <xdr:cNvPr id="20" name="Chevron 19"/>
              <xdr:cNvSpPr/>
            </xdr:nvSpPr>
            <xdr:spPr>
              <a:xfrm>
                <a:off x="4392613" y="71437"/>
                <a:ext cx="287337" cy="287338"/>
              </a:xfrm>
              <a:prstGeom prst="chevron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endParaRPr lang="en-NZ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21" name="Chevron 20"/>
              <xdr:cNvSpPr/>
            </xdr:nvSpPr>
            <xdr:spPr>
              <a:xfrm>
                <a:off x="4679950" y="71437"/>
                <a:ext cx="288925" cy="287338"/>
              </a:xfrm>
              <a:prstGeom prst="chevron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endParaRPr lang="en-NZ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22" name="Chevron 21"/>
              <xdr:cNvSpPr/>
            </xdr:nvSpPr>
            <xdr:spPr>
              <a:xfrm>
                <a:off x="6767513" y="71437"/>
                <a:ext cx="288925" cy="287338"/>
              </a:xfrm>
              <a:prstGeom prst="chevron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endParaRPr lang="en-NZ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23" name="Chevron 22"/>
              <xdr:cNvSpPr/>
            </xdr:nvSpPr>
            <xdr:spPr>
              <a:xfrm>
                <a:off x="7056438" y="71437"/>
                <a:ext cx="287337" cy="287338"/>
              </a:xfrm>
              <a:prstGeom prst="chevron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endParaRPr lang="en-NZ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25" name="Rectangle 24"/>
              <xdr:cNvSpPr/>
            </xdr:nvSpPr>
            <xdr:spPr>
              <a:xfrm>
                <a:off x="2725738" y="1251401"/>
                <a:ext cx="1512887" cy="582475"/>
              </a:xfrm>
              <a:prstGeom prst="rect">
                <a:avLst/>
              </a:prstGeom>
              <a:ln>
                <a:noFill/>
              </a:ln>
            </xdr:spPr>
            <xdr:style>
              <a:lnRef idx="3">
                <a:schemeClr val="lt1"/>
              </a:lnRef>
              <a:fillRef idx="1">
                <a:schemeClr val="accent1"/>
              </a:fillRef>
              <a:effectRef idx="1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r>
                  <a:rPr lang="en-NZ" sz="1200"/>
                  <a:t>Volume &amp; CPI forecast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/>
                  <a:t> CPI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/>
                  <a:t> PAX and aircraft movement .</a:t>
                </a:r>
              </a:p>
            </xdr:txBody>
          </xdr:sp>
          <xdr:sp macro="" textlink="">
            <xdr:nvSpPr>
              <xdr:cNvPr id="29" name="Rectangle 28"/>
              <xdr:cNvSpPr/>
            </xdr:nvSpPr>
            <xdr:spPr>
              <a:xfrm>
                <a:off x="2735263" y="2392647"/>
                <a:ext cx="1512887" cy="582476"/>
              </a:xfrm>
              <a:prstGeom prst="rect">
                <a:avLst/>
              </a:prstGeom>
              <a:ln>
                <a:noFill/>
              </a:ln>
            </xdr:spPr>
            <xdr:style>
              <a:lnRef idx="3">
                <a:schemeClr val="lt1"/>
              </a:lnRef>
              <a:fillRef idx="1">
                <a:schemeClr val="accent1"/>
              </a:fillRef>
              <a:effectRef idx="1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r>
                  <a:rPr lang="en-NZ" sz="1200"/>
                  <a:t>One-off costs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 typeface="Arial" pitchFamily="34" charset="0"/>
                  <a:buChar char="•"/>
                  <a:tabLst/>
                  <a:defRPr/>
                </a:pPr>
                <a:r>
                  <a:rPr kumimoji="0" lang="en-NZ" sz="900" b="0" i="0" u="none" strike="noStrike" kern="0" cap="none" spc="0" normalizeH="0" baseline="0" noProof="0">
                    <a:ln>
                      <a:noFill/>
                    </a:ln>
                    <a:solidFill>
                      <a:prstClr val="white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 Irregular one-offs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 typeface="Arial" pitchFamily="34" charset="0"/>
                  <a:buChar char="•"/>
                  <a:tabLst/>
                  <a:defRPr/>
                </a:pPr>
                <a:r>
                  <a:rPr kumimoji="0" lang="en-NZ" sz="900" b="0" i="0" u="none" strike="noStrike" kern="0" cap="none" spc="0" normalizeH="0" baseline="0" noProof="0">
                    <a:ln>
                      <a:noFill/>
                    </a:ln>
                    <a:solidFill>
                      <a:prstClr val="white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 Revalaution gain/losses</a:t>
                </a:r>
                <a:endParaRPr kumimoji="0" lang="en-NZ" sz="1200" b="0" i="0" u="none" strike="noStrike" kern="0" cap="none" spc="0" normalizeH="0" baseline="0" noProof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30" name="Rectangle 29"/>
              <xdr:cNvSpPr/>
            </xdr:nvSpPr>
            <xdr:spPr>
              <a:xfrm>
                <a:off x="2735263" y="3007503"/>
                <a:ext cx="1512887" cy="760983"/>
              </a:xfrm>
              <a:prstGeom prst="rect">
                <a:avLst/>
              </a:prstGeom>
              <a:ln>
                <a:noFill/>
              </a:ln>
            </xdr:spPr>
            <xdr:style>
              <a:lnRef idx="3">
                <a:schemeClr val="lt1"/>
              </a:lnRef>
              <a:fillRef idx="1">
                <a:schemeClr val="accent1"/>
              </a:fillRef>
              <a:effectRef idx="1">
                <a:schemeClr val="accent1"/>
              </a:effectRef>
              <a:fontRef idx="minor">
                <a:schemeClr val="lt1"/>
              </a:fontRef>
            </xdr:style>
            <xdr:txBody>
              <a:bodyPr wrap="square" anchor="ctr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r>
                  <a:rPr lang="en-NZ" sz="1200"/>
                  <a:t>Asset Base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 typeface="Arial" pitchFamily="34" charset="0"/>
                  <a:buChar char="•"/>
                  <a:tabLst/>
                  <a:defRPr/>
                </a:pPr>
                <a:r>
                  <a:rPr kumimoji="0" lang="en-NZ" sz="900" b="0" i="0" u="none" strike="noStrike" kern="0" cap="none" spc="0" normalizeH="0" baseline="0" noProof="0">
                    <a:ln>
                      <a:noFill/>
                    </a:ln>
                    <a:solidFill>
                      <a:prstClr val="white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 </a:t>
                </a:r>
                <a:r>
                  <a:rPr lang="en-NZ" sz="1100" b="0" i="0" kern="1200" baseline="0">
                    <a:solidFill>
                      <a:schemeClr val="lt1"/>
                    </a:solidFill>
                    <a:effectLst/>
                    <a:latin typeface="+mn-lt"/>
                    <a:ea typeface="+mn-ea"/>
                    <a:cs typeface="+mn-cs"/>
                  </a:rPr>
                  <a:t>CAPEX</a:t>
                </a:r>
                <a:endParaRPr kumimoji="0" lang="en-NZ" sz="900" b="0" i="0" u="none" strike="noStrike" kern="0" cap="none" spc="0" normalizeH="0" baseline="0" noProof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 typeface="Arial" pitchFamily="34" charset="0"/>
                  <a:buChar char="•"/>
                  <a:tabLst/>
                  <a:defRPr/>
                </a:pPr>
                <a:r>
                  <a:rPr kumimoji="0" lang="en-NZ" sz="900" b="0" i="0" u="none" strike="noStrike" kern="0" cap="none" spc="0" normalizeH="0" baseline="0" noProof="0">
                    <a:ln>
                      <a:noFill/>
                    </a:ln>
                    <a:solidFill>
                      <a:prstClr val="white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 Existing assets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 typeface="Arial" pitchFamily="34" charset="0"/>
                  <a:buChar char="•"/>
                  <a:tabLst/>
                  <a:defRPr/>
                </a:pPr>
                <a:r>
                  <a:rPr kumimoji="0" lang="en-NZ" sz="900" b="0" i="0" u="none" strike="noStrike" kern="0" cap="none" spc="0" normalizeH="0" baseline="0" noProof="0">
                    <a:ln>
                      <a:noFill/>
                    </a:ln>
                    <a:solidFill>
                      <a:prstClr val="white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 Fixed asset summary</a:t>
                </a:r>
              </a:p>
            </xdr:txBody>
          </xdr:sp>
          <xdr:sp macro="" textlink="">
            <xdr:nvSpPr>
              <xdr:cNvPr id="33" name="Rectangle 32"/>
              <xdr:cNvSpPr/>
            </xdr:nvSpPr>
            <xdr:spPr>
              <a:xfrm>
                <a:off x="5262663" y="1880447"/>
                <a:ext cx="1511300" cy="1166544"/>
              </a:xfrm>
              <a:prstGeom prst="rect">
                <a:avLst/>
              </a:prstGeom>
              <a:ln/>
            </xdr:spPr>
            <xdr:style>
              <a:lnRef idx="1">
                <a:schemeClr val="accent5"/>
              </a:lnRef>
              <a:fillRef idx="2">
                <a:schemeClr val="accent5"/>
              </a:fillRef>
              <a:effectRef idx="1">
                <a:schemeClr val="accent5"/>
              </a:effectRef>
              <a:fontRef idx="minor">
                <a:schemeClr val="dk1"/>
              </a:fontRef>
            </xdr:style>
            <xdr:txBody>
              <a:bodyPr wrap="square" anchor="ctr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r>
                  <a:rPr lang="en-NZ" sz="1200">
                    <a:solidFill>
                      <a:schemeClr val="tx2"/>
                    </a:solidFill>
                  </a:rPr>
                  <a:t>Segment summary 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>
                    <a:solidFill>
                      <a:schemeClr val="tx2"/>
                    </a:solidFill>
                  </a:rPr>
                  <a:t>Full cost</a:t>
                </a:r>
                <a:r>
                  <a:rPr lang="en-NZ" sz="900" baseline="0">
                    <a:solidFill>
                      <a:schemeClr val="tx2"/>
                    </a:solidFill>
                  </a:rPr>
                  <a:t> of service building blocks, by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 baseline="0">
                    <a:solidFill>
                      <a:schemeClr val="tx2"/>
                    </a:solidFill>
                  </a:rPr>
                  <a:t>Airfield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>
                    <a:solidFill>
                      <a:schemeClr val="tx2"/>
                    </a:solidFill>
                  </a:rPr>
                  <a:t> International Term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>
                    <a:solidFill>
                      <a:schemeClr val="tx2"/>
                    </a:solidFill>
                  </a:rPr>
                  <a:t>Term Domestic</a:t>
                </a:r>
                <a:r>
                  <a:rPr lang="en-NZ" sz="900" baseline="0">
                    <a:solidFill>
                      <a:schemeClr val="tx2"/>
                    </a:solidFill>
                  </a:rPr>
                  <a:t> - jet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 baseline="0">
                    <a:solidFill>
                      <a:schemeClr val="tx2"/>
                    </a:solidFill>
                  </a:rPr>
                  <a:t>Term Domestic - turbo prop</a:t>
                </a:r>
                <a:endParaRPr lang="en-NZ" sz="900">
                  <a:solidFill>
                    <a:schemeClr val="tx2"/>
                  </a:solidFill>
                </a:endParaRPr>
              </a:p>
            </xdr:txBody>
          </xdr:sp>
          <xdr:sp macro="" textlink="">
            <xdr:nvSpPr>
              <xdr:cNvPr id="34" name="Rectangle 33"/>
              <xdr:cNvSpPr/>
            </xdr:nvSpPr>
            <xdr:spPr>
              <a:xfrm>
                <a:off x="7285480" y="1812494"/>
                <a:ext cx="1511300" cy="1020517"/>
              </a:xfrm>
              <a:prstGeom prst="rect">
                <a:avLst/>
              </a:prstGeom>
              <a:ln/>
            </xdr:spPr>
            <xdr:style>
              <a:lnRef idx="1">
                <a:schemeClr val="accent3"/>
              </a:lnRef>
              <a:fillRef idx="2">
                <a:schemeClr val="accent3"/>
              </a:fillRef>
              <a:effectRef idx="1">
                <a:schemeClr val="accent3"/>
              </a:effectRef>
              <a:fontRef idx="minor">
                <a:schemeClr val="dk1"/>
              </a:fontRef>
            </xdr:style>
            <xdr:txBody>
              <a:bodyPr wrap="square" anchor="ctr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 fontAlgn="auto">
                  <a:spcBef>
                    <a:spcPts val="0"/>
                  </a:spcBef>
                  <a:spcAft>
                    <a:spcPts val="0"/>
                  </a:spcAft>
                  <a:defRPr/>
                </a:pPr>
                <a:r>
                  <a:rPr lang="en-NZ" sz="1200">
                    <a:solidFill>
                      <a:schemeClr val="tx1"/>
                    </a:solidFill>
                  </a:rPr>
                  <a:t>Pricing</a:t>
                </a:r>
                <a:r>
                  <a:rPr lang="en-NZ" sz="1200" baseline="0">
                    <a:solidFill>
                      <a:schemeClr val="tx1"/>
                    </a:solidFill>
                  </a:rPr>
                  <a:t> and revenue</a:t>
                </a:r>
                <a:endParaRPr lang="en-NZ" sz="1200">
                  <a:solidFill>
                    <a:schemeClr val="tx1"/>
                  </a:solidFill>
                </a:endParaRP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 baseline="0">
                    <a:solidFill>
                      <a:schemeClr val="tx1"/>
                    </a:solidFill>
                  </a:rPr>
                  <a:t> Revenue summary</a:t>
                </a:r>
                <a:r>
                  <a:rPr lang="en-NZ" sz="900">
                    <a:solidFill>
                      <a:schemeClr val="tx1"/>
                    </a:solidFill>
                  </a:rPr>
                  <a:t> 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>
                    <a:solidFill>
                      <a:schemeClr val="tx1"/>
                    </a:solidFill>
                  </a:rPr>
                  <a:t> Price paths</a:t>
                </a:r>
                <a:r>
                  <a:rPr lang="en-NZ" sz="900" baseline="0">
                    <a:solidFill>
                      <a:schemeClr val="tx1"/>
                    </a:solidFill>
                  </a:rPr>
                  <a:t> 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>
                    <a:solidFill>
                      <a:schemeClr val="tx1"/>
                    </a:solidFill>
                  </a:rPr>
                  <a:t>1.</a:t>
                </a:r>
                <a:r>
                  <a:rPr lang="en-NZ" sz="900" baseline="0">
                    <a:solidFill>
                      <a:schemeClr val="tx1"/>
                    </a:solidFill>
                  </a:rPr>
                  <a:t> </a:t>
                </a:r>
                <a:r>
                  <a:rPr lang="en-NZ" sz="900">
                    <a:solidFill>
                      <a:schemeClr val="tx1"/>
                    </a:solidFill>
                  </a:rPr>
                  <a:t>Full</a:t>
                </a:r>
                <a:r>
                  <a:rPr lang="en-NZ" sz="900" baseline="0">
                    <a:solidFill>
                      <a:schemeClr val="tx1"/>
                    </a:solidFill>
                  </a:rPr>
                  <a:t> recovery prices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 baseline="0">
                    <a:solidFill>
                      <a:schemeClr val="tx1"/>
                    </a:solidFill>
                  </a:rPr>
                  <a:t>2. LRMC prices</a:t>
                </a:r>
              </a:p>
              <a:p>
                <a:pPr fontAlgn="auto">
                  <a:spcBef>
                    <a:spcPts val="0"/>
                  </a:spcBef>
                  <a:spcAft>
                    <a:spcPts val="0"/>
                  </a:spcAft>
                  <a:buFont typeface="Arial" pitchFamily="34" charset="0"/>
                  <a:buChar char="•"/>
                  <a:defRPr/>
                </a:pPr>
                <a:r>
                  <a:rPr lang="en-NZ" sz="900" baseline="0">
                    <a:solidFill>
                      <a:schemeClr val="tx1"/>
                    </a:solidFill>
                  </a:rPr>
                  <a:t>3. Proposed prices</a:t>
                </a:r>
                <a:endParaRPr lang="en-NZ" sz="900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7" name="Rectangle 6"/>
            <xdr:cNvSpPr/>
          </xdr:nvSpPr>
          <xdr:spPr>
            <a:xfrm>
              <a:off x="2755413" y="4767808"/>
              <a:ext cx="1508884" cy="576062"/>
            </a:xfrm>
            <a:prstGeom prst="rect">
              <a:avLst/>
            </a:prstGeom>
            <a:ln>
              <a:noFill/>
            </a:ln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wrap="square" anchor="ctr">
              <a:no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en-NZ" sz="1200"/>
                <a:t>WACC</a:t>
              </a:r>
            </a:p>
          </xdr:txBody>
        </xdr:sp>
        <xdr:cxnSp macro="">
          <xdr:nvCxnSpPr>
            <xdr:cNvPr id="12" name="Elbow Connector 11"/>
            <xdr:cNvCxnSpPr>
              <a:stCxn id="33" idx="3"/>
              <a:endCxn id="34" idx="1"/>
            </xdr:cNvCxnSpPr>
          </xdr:nvCxnSpPr>
          <xdr:spPr>
            <a:xfrm flipV="1">
              <a:off x="6779946" y="3224978"/>
              <a:ext cx="509289" cy="145206"/>
            </a:xfrm>
            <a:prstGeom prst="bentConnector3">
              <a:avLst>
                <a:gd name="adj1" fmla="val 50000"/>
              </a:avLst>
            </a:prstGeom>
            <a:ln w="19050"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9" name="Right Brace 58"/>
          <xdr:cNvSpPr/>
        </xdr:nvSpPr>
        <xdr:spPr>
          <a:xfrm>
            <a:off x="2438401" y="2411506"/>
            <a:ext cx="744070" cy="2967318"/>
          </a:xfrm>
          <a:prstGeom prst="rightBrace">
            <a:avLst>
              <a:gd name="adj1" fmla="val 8333"/>
              <a:gd name="adj2" fmla="val 47428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NZ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175260</xdr:colOff>
      <xdr:row>0</xdr:row>
      <xdr:rowOff>137160</xdr:rowOff>
    </xdr:from>
    <xdr:to>
      <xdr:col>20</xdr:col>
      <xdr:colOff>162709</xdr:colOff>
      <xdr:row>2</xdr:row>
      <xdr:rowOff>152400</xdr:rowOff>
    </xdr:to>
    <xdr:pic>
      <xdr:nvPicPr>
        <xdr:cNvPr id="11268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9700260" y="137160"/>
          <a:ext cx="23164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0</xdr:row>
      <xdr:rowOff>129540</xdr:rowOff>
    </xdr:from>
    <xdr:to>
      <xdr:col>19</xdr:col>
      <xdr:colOff>330798</xdr:colOff>
      <xdr:row>2</xdr:row>
      <xdr:rowOff>144780</xdr:rowOff>
    </xdr:to>
    <xdr:pic>
      <xdr:nvPicPr>
        <xdr:cNvPr id="12292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9677400" y="129540"/>
          <a:ext cx="23164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297180</xdr:colOff>
      <xdr:row>0</xdr:row>
      <xdr:rowOff>76200</xdr:rowOff>
    </xdr:from>
    <xdr:to>
      <xdr:col>18</xdr:col>
      <xdr:colOff>625203</xdr:colOff>
      <xdr:row>2</xdr:row>
      <xdr:rowOff>99060</xdr:rowOff>
    </xdr:to>
    <xdr:pic>
      <xdr:nvPicPr>
        <xdr:cNvPr id="2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7208520" y="76200"/>
          <a:ext cx="242352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137160</xdr:colOff>
      <xdr:row>0</xdr:row>
      <xdr:rowOff>137160</xdr:rowOff>
    </xdr:from>
    <xdr:to>
      <xdr:col>16384</xdr:col>
      <xdr:colOff>609600</xdr:colOff>
      <xdr:row>2</xdr:row>
      <xdr:rowOff>144780</xdr:rowOff>
    </xdr:to>
    <xdr:pic>
      <xdr:nvPicPr>
        <xdr:cNvPr id="2052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31333440" y="137160"/>
          <a:ext cx="21945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137160</xdr:colOff>
      <xdr:row>0</xdr:row>
      <xdr:rowOff>137160</xdr:rowOff>
    </xdr:from>
    <xdr:to>
      <xdr:col>51</xdr:col>
      <xdr:colOff>15238</xdr:colOff>
      <xdr:row>2</xdr:row>
      <xdr:rowOff>137160</xdr:rowOff>
    </xdr:to>
    <xdr:pic>
      <xdr:nvPicPr>
        <xdr:cNvPr id="4100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37307520" y="137160"/>
          <a:ext cx="22555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99060</xdr:colOff>
      <xdr:row>1</xdr:row>
      <xdr:rowOff>22860</xdr:rowOff>
    </xdr:from>
    <xdr:to>
      <xdr:col>51</xdr:col>
      <xdr:colOff>403860</xdr:colOff>
      <xdr:row>3</xdr:row>
      <xdr:rowOff>45720</xdr:rowOff>
    </xdr:to>
    <xdr:pic>
      <xdr:nvPicPr>
        <xdr:cNvPr id="7172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43776900" y="175260"/>
          <a:ext cx="21945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99060</xdr:colOff>
      <xdr:row>1</xdr:row>
      <xdr:rowOff>22860</xdr:rowOff>
    </xdr:from>
    <xdr:to>
      <xdr:col>16384</xdr:col>
      <xdr:colOff>609601</xdr:colOff>
      <xdr:row>3</xdr:row>
      <xdr:rowOff>45720</xdr:rowOff>
    </xdr:to>
    <xdr:pic>
      <xdr:nvPicPr>
        <xdr:cNvPr id="6157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43776900" y="190500"/>
          <a:ext cx="21945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53340</xdr:colOff>
      <xdr:row>0</xdr:row>
      <xdr:rowOff>114300</xdr:rowOff>
    </xdr:from>
    <xdr:to>
      <xdr:col>20</xdr:col>
      <xdr:colOff>245185</xdr:colOff>
      <xdr:row>2</xdr:row>
      <xdr:rowOff>137160</xdr:rowOff>
    </xdr:to>
    <xdr:pic>
      <xdr:nvPicPr>
        <xdr:cNvPr id="8196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8542020" y="114300"/>
          <a:ext cx="22098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0</xdr:row>
      <xdr:rowOff>121920</xdr:rowOff>
    </xdr:from>
    <xdr:to>
      <xdr:col>19</xdr:col>
      <xdr:colOff>12550</xdr:colOff>
      <xdr:row>2</xdr:row>
      <xdr:rowOff>137160</xdr:rowOff>
    </xdr:to>
    <xdr:pic>
      <xdr:nvPicPr>
        <xdr:cNvPr id="9220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9639300" y="121920"/>
          <a:ext cx="21869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525780</xdr:colOff>
      <xdr:row>1</xdr:row>
      <xdr:rowOff>0</xdr:rowOff>
    </xdr:from>
    <xdr:to>
      <xdr:col>19</xdr:col>
      <xdr:colOff>492162</xdr:colOff>
      <xdr:row>3</xdr:row>
      <xdr:rowOff>15240</xdr:rowOff>
    </xdr:to>
    <xdr:pic>
      <xdr:nvPicPr>
        <xdr:cNvPr id="10244" name="Picture 1" descr="cialrgb2logo_800x2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18"/>
        <a:stretch>
          <a:fillRect/>
        </a:stretch>
      </xdr:blipFill>
      <xdr:spPr bwMode="auto">
        <a:xfrm>
          <a:off x="9182100" y="167640"/>
          <a:ext cx="23393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AL%20Cash%20Flow%20Analys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ley/Documents/1.%20Stan's%20WIP/CIAL/Released%20to%20airline/June%202012%20model%20rerun/CIAL%20-%20Aero%20Pricing%20Strategy%20Model%20v3.39v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xc/Local%20Settings/Temporary%20Internet%20Files/Content.Outlook/VDMDZEEM/CIAL%20-%20%20Pricing%20model%20v4%2021_new%20base%20model%20b4%20airline%20tidy%20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ley/Documents/1.%20Stan's%20WIP/CIAL/Released%20to%20airline/June%202012%20model%20rerun/Airfield%20pricing%20calculator%20-%20per%20V41%20no%20air%20nz%20increas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ley/Documents/1.%20Stan's%20WIP/CIAL/Released%20to%20airline/June%202012%20model%20rerun/CIAL%20-%20Aero%20Pricing%20Strategy%20Model%20v3.39%20v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ley/Documents/1.%20Stan's%20WIP/CIAL/Released%20to%20airline/June%202012%20model%20rerun/CIAL%20-%20Aero%20Pricing%20Strategy%20Model%20v3.39v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ley/Documents/1.%20Stan's%20WIP/CIAL/Released%20to%20airline/June%202012%20model%20rerun/Asset%20Movement%20summary%202008-2012%20Category%20Allocation%2019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L Cash Flow Analysi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CONTROL"/>
      <sheetName val="SUMMARY OUTPUT"/>
      <sheetName val="Summary - 5 Yrs"/>
      <sheetName val="Summary 2"/>
      <sheetName val="Allowable Revenue NPV"/>
      <sheetName val="Summary_Stan"/>
      <sheetName val="presentation"/>
      <sheetName val="Capex - Input"/>
      <sheetName val="AC Revenue Input"/>
      <sheetName val="Revenue Pivot"/>
      <sheetName val="Macro Input"/>
      <sheetName val="FA DRIVER LIBRARY"/>
      <sheetName val="Opex Allocation Calcs"/>
      <sheetName val="Opex Engine - Inputs"/>
      <sheetName val="Demand Input"/>
      <sheetName val="Fin Stats - Input"/>
      <sheetName val="WACC - Input"/>
      <sheetName val="OUTPUT"/>
      <sheetName val="2008-2012 Asset Mov't Summary"/>
      <sheetName val="SQL Pivot Check"/>
      <sheetName val="FS SEGMENT SUMMARY"/>
      <sheetName val="FS AIRFIELD"/>
      <sheetName val="FS TERM INTER"/>
      <sheetName val="FS TERM DOM - JET"/>
      <sheetName val="FS TERM DOM - TP"/>
      <sheetName val="FS COMMERCIAL - TERM"/>
      <sheetName val="FS CHECKIN - COMMON"/>
      <sheetName val="FS NZ CHECKIN"/>
      <sheetName val="FS JQ CHECKIN"/>
      <sheetName val="FS PROPERTY - OTHER"/>
      <sheetName val="FS CARPARK"/>
      <sheetName val="Balance sheet -Data"/>
      <sheetName val="P&amp;L - Data"/>
      <sheetName val="P&amp;L Data Disclosure"/>
      <sheetName val="BP- FORECAST"/>
      <sheetName val="Airline Pricing - Assets 11"/>
      <sheetName val="Additions Disposals Reval "/>
      <sheetName val="DEP Check sheet Dominic"/>
      <sheetName val="SQL_Driver"/>
      <sheetName val="SQL_Depreciation"/>
      <sheetName val="Other Calcs"/>
    </sheetNames>
    <sheetDataSet>
      <sheetData sheetId="0" refreshError="1"/>
      <sheetData sheetId="1" refreshError="1">
        <row r="24">
          <cell r="I24">
            <v>1000000</v>
          </cell>
        </row>
        <row r="110">
          <cell r="G110" t="str">
            <v>Borrowing rate</v>
          </cell>
        </row>
        <row r="111">
          <cell r="G111" t="str">
            <v>WACC (Mid-Point)</v>
          </cell>
        </row>
        <row r="112">
          <cell r="G112" t="str">
            <v>Zero</v>
          </cell>
        </row>
        <row r="117">
          <cell r="G117" t="str">
            <v>PAX - International</v>
          </cell>
        </row>
        <row r="118">
          <cell r="G118" t="str">
            <v>PAX - Domestic Terminal - Jet</v>
          </cell>
        </row>
        <row r="119">
          <cell r="G119" t="str">
            <v>PAX - Domestic Terminal - Turbo Prop</v>
          </cell>
        </row>
        <row r="120">
          <cell r="G120" t="str">
            <v>PAX - Total</v>
          </cell>
        </row>
        <row r="168">
          <cell r="G168" t="str">
            <v>ALL (AERO/COMM EXCL PROP)</v>
          </cell>
        </row>
        <row r="169">
          <cell r="G169" t="str">
            <v>TERMINAL - INT AERO ONLY</v>
          </cell>
        </row>
        <row r="170">
          <cell r="G170" t="str">
            <v>TERMINAL - DOM AERO ONLY</v>
          </cell>
        </row>
        <row r="171">
          <cell r="G171" t="str">
            <v>TERMINAL - AERO ONLY</v>
          </cell>
        </row>
        <row r="172">
          <cell r="G172" t="str">
            <v>TERMINAL - ALL INT</v>
          </cell>
        </row>
        <row r="173">
          <cell r="G173" t="str">
            <v>TERMINAL - ALL DOM</v>
          </cell>
        </row>
        <row r="174">
          <cell r="G174" t="str">
            <v>TERMINAL - AERO R/L ONLY</v>
          </cell>
        </row>
        <row r="175">
          <cell r="G175" t="str">
            <v>TERMINAL - AERO DOM JET ONLY</v>
          </cell>
        </row>
        <row r="176">
          <cell r="G176" t="str">
            <v>TERMINAL - COMMERCIAL ONLY</v>
          </cell>
        </row>
        <row r="177">
          <cell r="G177" t="str">
            <v>TERMINAL - ALL</v>
          </cell>
        </row>
        <row r="178">
          <cell r="G178" t="str">
            <v>ITP CAPEX</v>
          </cell>
        </row>
        <row r="179">
          <cell r="G179" t="str">
            <v>AIRFIELD ONLY</v>
          </cell>
        </row>
        <row r="180">
          <cell r="G180" t="str">
            <v>TERMINAL - COMMON USE CHECK-IN</v>
          </cell>
        </row>
        <row r="181">
          <cell r="G181" t="str">
            <v xml:space="preserve">TERMINAL - DEDICATED NZ CHECK-IN </v>
          </cell>
        </row>
        <row r="182">
          <cell r="G182" t="str">
            <v>TERMINAL - DEDICATED JQ CHECK-IN</v>
          </cell>
        </row>
        <row r="183">
          <cell r="G183" t="str">
            <v>PREVIOUS YEARS ASSETS - ALL</v>
          </cell>
        </row>
        <row r="184">
          <cell r="G184" t="str">
            <v>PREVIOUS YEARS ASSETS - LAND</v>
          </cell>
        </row>
        <row r="185">
          <cell r="G185" t="str">
            <v>PREVIOUS YEARS ASSETS - BUILDING</v>
          </cell>
        </row>
        <row r="186">
          <cell r="G186" t="str">
            <v>PREVIOUS YEARS ASSETS - COMPUTERS AND FURNITURE</v>
          </cell>
        </row>
        <row r="187">
          <cell r="G187" t="str">
            <v>PREVIOUS YEARS ASSETS - MOTOR VEHICLES</v>
          </cell>
        </row>
        <row r="188">
          <cell r="G188" t="str">
            <v>PREVIOUS YEARS ASSETS - PLANT AND EQUIPMENT</v>
          </cell>
        </row>
        <row r="189">
          <cell r="G189" t="str">
            <v>PREVIOUS YEARS ASSETS - AIRFIELD RUNWAY APRON TAXI</v>
          </cell>
        </row>
        <row r="190">
          <cell r="G190" t="str">
            <v>PREVIOUS YEARS ASSETS - INFRSTRUCTURE</v>
          </cell>
        </row>
        <row r="191">
          <cell r="G191" t="str">
            <v>PREVIOUS YEARS ASSETS - TERMINAL FACILITIES</v>
          </cell>
        </row>
        <row r="192">
          <cell r="G192" t="str">
            <v>PREVIOUS YEARS ASSETS - CAR PARKING</v>
          </cell>
        </row>
        <row r="193">
          <cell r="G193" t="str">
            <v>PREVIOUS YEARS ASSETS - SOFTWARE</v>
          </cell>
        </row>
        <row r="194">
          <cell r="G194" t="str">
            <v>PREVIOUS YEARS ASSETS - [BLANK FA 1]</v>
          </cell>
        </row>
        <row r="195">
          <cell r="G195" t="str">
            <v>PREVIOUS YEARS ASSETS - [BLANK FA 2]</v>
          </cell>
        </row>
        <row r="196">
          <cell r="G196" t="str">
            <v>PREVIOUS YEARS ASSETS - [BLANK FA 3]</v>
          </cell>
        </row>
        <row r="212">
          <cell r="G212" t="str">
            <v>EXCLUDE</v>
          </cell>
        </row>
        <row r="213">
          <cell r="G213" t="str">
            <v>Land</v>
          </cell>
        </row>
        <row r="214">
          <cell r="G214" t="str">
            <v>Buildings</v>
          </cell>
        </row>
        <row r="215">
          <cell r="G215" t="str">
            <v>Computers &amp; Furniture</v>
          </cell>
        </row>
        <row r="216">
          <cell r="G216" t="str">
            <v>Motor vehicles</v>
          </cell>
        </row>
        <row r="217">
          <cell r="G217" t="str">
            <v>Plant &amp; equipment</v>
          </cell>
        </row>
        <row r="218">
          <cell r="G218" t="str">
            <v>Airfield Runway Apron Taxi</v>
          </cell>
        </row>
        <row r="219">
          <cell r="G219" t="str">
            <v>Infrastructure</v>
          </cell>
        </row>
        <row r="220">
          <cell r="G220" t="str">
            <v>Terminal facilities</v>
          </cell>
        </row>
        <row r="221">
          <cell r="G221" t="str">
            <v>Car parking</v>
          </cell>
        </row>
        <row r="222">
          <cell r="G222" t="str">
            <v>Software</v>
          </cell>
        </row>
        <row r="223">
          <cell r="G223" t="str">
            <v>[Blank FA 1]</v>
          </cell>
        </row>
        <row r="224">
          <cell r="G224" t="str">
            <v>[Blank FA 2]</v>
          </cell>
        </row>
        <row r="225">
          <cell r="G225" t="str">
            <v>[Blank FA 3]</v>
          </cell>
        </row>
      </sheetData>
      <sheetData sheetId="2" refreshError="1">
        <row r="88">
          <cell r="N88">
            <v>969632</v>
          </cell>
          <cell r="O88">
            <v>889241</v>
          </cell>
          <cell r="P88">
            <v>889241</v>
          </cell>
          <cell r="Q88">
            <v>959338</v>
          </cell>
          <cell r="R88">
            <v>1013101</v>
          </cell>
          <cell r="S88">
            <v>1066610</v>
          </cell>
          <cell r="T88">
            <v>1111486</v>
          </cell>
          <cell r="U88">
            <v>1160029</v>
          </cell>
          <cell r="V88">
            <v>1223416</v>
          </cell>
          <cell r="W88">
            <v>1279512</v>
          </cell>
          <cell r="X88">
            <v>1326522.0649999999</v>
          </cell>
          <cell r="Y88">
            <v>1366317.72695</v>
          </cell>
          <cell r="Z88">
            <v>1407307.2587585</v>
          </cell>
          <cell r="AA88">
            <v>1449526.476521255</v>
          </cell>
          <cell r="AB88">
            <v>1493012.2708168929</v>
          </cell>
          <cell r="AC88">
            <v>1537802.6389413995</v>
          </cell>
          <cell r="AD88">
            <v>1583936.7181096412</v>
          </cell>
          <cell r="AE88">
            <v>1631454.8196529311</v>
          </cell>
          <cell r="AF88">
            <v>1680398.4642425191</v>
          </cell>
          <cell r="AG88">
            <v>1730810.4181697944</v>
          </cell>
          <cell r="AH88">
            <v>1782734.7307148883</v>
          </cell>
        </row>
        <row r="91">
          <cell r="N91">
            <v>1327814.8617457699</v>
          </cell>
          <cell r="O91">
            <v>1290779.88721252</v>
          </cell>
          <cell r="P91">
            <v>1305893.5266257601</v>
          </cell>
          <cell r="Q91">
            <v>1337230.1202835401</v>
          </cell>
          <cell r="R91">
            <v>1372474.4360229052</v>
          </cell>
          <cell r="S91">
            <v>1405083.1854069952</v>
          </cell>
          <cell r="T91">
            <v>1440067.8821269996</v>
          </cell>
          <cell r="U91">
            <v>1476358.4318761404</v>
          </cell>
          <cell r="V91">
            <v>1514320.72688221</v>
          </cell>
          <cell r="W91">
            <v>1544586.8852456901</v>
          </cell>
          <cell r="X91">
            <v>1576424.0718282633</v>
          </cell>
          <cell r="Y91">
            <v>1617069.5390201434</v>
          </cell>
          <cell r="Z91">
            <v>1662932.3261196243</v>
          </cell>
          <cell r="AA91">
            <v>1702241.6118831914</v>
          </cell>
          <cell r="AB91">
            <v>1740941.9427896424</v>
          </cell>
          <cell r="AC91">
            <v>1781833.9931302585</v>
          </cell>
          <cell r="AD91">
            <v>1825780.2255678494</v>
          </cell>
          <cell r="AE91">
            <v>1872737.1309007918</v>
          </cell>
          <cell r="AF91">
            <v>1921617.7322865925</v>
          </cell>
          <cell r="AG91">
            <v>1968836.5873233513</v>
          </cell>
          <cell r="AH91">
            <v>2017813.6107388979</v>
          </cell>
        </row>
        <row r="92">
          <cell r="N92">
            <v>1744908</v>
          </cell>
          <cell r="O92">
            <v>1823073</v>
          </cell>
          <cell r="P92">
            <v>1977165</v>
          </cell>
          <cell r="Q92">
            <v>1995810</v>
          </cell>
          <cell r="R92">
            <v>2006432</v>
          </cell>
          <cell r="S92">
            <v>2002713</v>
          </cell>
          <cell r="T92">
            <v>2011371</v>
          </cell>
          <cell r="U92">
            <v>2004656</v>
          </cell>
          <cell r="V92">
            <v>2016133</v>
          </cell>
          <cell r="W92">
            <v>2017156</v>
          </cell>
          <cell r="X92">
            <v>2057261.1926385816</v>
          </cell>
          <cell r="Y92">
            <v>2110304.2435566913</v>
          </cell>
          <cell r="Z92">
            <v>2170155.9888910428</v>
          </cell>
          <cell r="AA92">
            <v>2221455.2994997283</v>
          </cell>
          <cell r="AB92">
            <v>2271959.9132892</v>
          </cell>
          <cell r="AC92">
            <v>2325324.7595615666</v>
          </cell>
          <cell r="AD92">
            <v>2382675.3672896498</v>
          </cell>
          <cell r="AE92">
            <v>2443954.956198636</v>
          </cell>
          <cell r="AF92">
            <v>2507745.002354946</v>
          </cell>
          <cell r="AG92">
            <v>2569366.4402433503</v>
          </cell>
          <cell r="AH92">
            <v>2633282.3188475766</v>
          </cell>
        </row>
        <row r="95">
          <cell r="N95">
            <v>736014.83569701004</v>
          </cell>
          <cell r="O95">
            <v>764110.79590985004</v>
          </cell>
          <cell r="P95">
            <v>790094.39228110528</v>
          </cell>
          <cell r="Q95">
            <v>811151.05594972509</v>
          </cell>
          <cell r="R95">
            <v>829624.78882297524</v>
          </cell>
          <cell r="S95">
            <v>852059.2300491198</v>
          </cell>
          <cell r="T95">
            <v>873512.99114140007</v>
          </cell>
          <cell r="U95">
            <v>895053.46697010542</v>
          </cell>
          <cell r="V95">
            <v>916389.38761913998</v>
          </cell>
          <cell r="W95">
            <v>934726.21074413008</v>
          </cell>
          <cell r="X95">
            <v>911476.99644580099</v>
          </cell>
          <cell r="Y95">
            <v>934977.91159753758</v>
          </cell>
          <cell r="Z95">
            <v>961495.44338426483</v>
          </cell>
          <cell r="AA95">
            <v>984223.78809842048</v>
          </cell>
          <cell r="AB95">
            <v>1006600.0395186114</v>
          </cell>
          <cell r="AC95">
            <v>1030243.5272634723</v>
          </cell>
          <cell r="AD95">
            <v>1055652.9210066607</v>
          </cell>
          <cell r="AE95">
            <v>1082803.0640424888</v>
          </cell>
          <cell r="AF95">
            <v>1111065.4742224622</v>
          </cell>
          <cell r="AG95">
            <v>1138367.0746824197</v>
          </cell>
          <cell r="AH95">
            <v>1166685.2353825953</v>
          </cell>
        </row>
        <row r="96">
          <cell r="N96">
            <v>974603</v>
          </cell>
          <cell r="O96">
            <v>1038345</v>
          </cell>
          <cell r="P96">
            <v>1094823</v>
          </cell>
          <cell r="Q96">
            <v>1096289</v>
          </cell>
          <cell r="R96">
            <v>1104465</v>
          </cell>
          <cell r="S96">
            <v>1117308</v>
          </cell>
          <cell r="T96">
            <v>1126340</v>
          </cell>
          <cell r="U96">
            <v>1139500</v>
          </cell>
          <cell r="V96">
            <v>1153912</v>
          </cell>
          <cell r="W96">
            <v>1161836</v>
          </cell>
          <cell r="X96">
            <v>1189493.5419223923</v>
          </cell>
          <cell r="Y96">
            <v>1220162.6503159788</v>
          </cell>
          <cell r="Z96">
            <v>1254768.4965754342</v>
          </cell>
          <cell r="AA96">
            <v>1284429.386934154</v>
          </cell>
          <cell r="AB96">
            <v>1313630.7893398502</v>
          </cell>
          <cell r="AC96">
            <v>1344485.9574798015</v>
          </cell>
          <cell r="AD96">
            <v>1377645.6640654225</v>
          </cell>
          <cell r="AE96">
            <v>1413077.0791524923</v>
          </cell>
          <cell r="AF96">
            <v>1449960.0224624488</v>
          </cell>
          <cell r="AG96">
            <v>1485589.0921569092</v>
          </cell>
          <cell r="AH96">
            <v>1522544.7908781357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0">
          <cell r="K10">
            <v>39994</v>
          </cell>
          <cell r="L10">
            <v>40359</v>
          </cell>
          <cell r="M10">
            <v>40724</v>
          </cell>
          <cell r="N10">
            <v>41090</v>
          </cell>
          <cell r="O10">
            <v>41455</v>
          </cell>
          <cell r="P10">
            <v>41820</v>
          </cell>
          <cell r="Q10">
            <v>42185</v>
          </cell>
          <cell r="R10">
            <v>42551</v>
          </cell>
          <cell r="S10">
            <v>42916</v>
          </cell>
          <cell r="T10">
            <v>43281</v>
          </cell>
          <cell r="U10">
            <v>43646</v>
          </cell>
          <cell r="V10">
            <v>44012</v>
          </cell>
          <cell r="W10">
            <v>44377</v>
          </cell>
          <cell r="X10">
            <v>44742</v>
          </cell>
          <cell r="Y10">
            <v>45107</v>
          </cell>
          <cell r="Z10">
            <v>45473</v>
          </cell>
          <cell r="AA10">
            <v>45838</v>
          </cell>
          <cell r="AB10">
            <v>46203</v>
          </cell>
          <cell r="AC10">
            <v>46568</v>
          </cell>
          <cell r="AD10">
            <v>46934</v>
          </cell>
          <cell r="AE10">
            <v>47299</v>
          </cell>
          <cell r="AF10">
            <v>47664</v>
          </cell>
          <cell r="AG10">
            <v>48029</v>
          </cell>
          <cell r="AH10">
            <v>48395</v>
          </cell>
          <cell r="AI10">
            <v>48760</v>
          </cell>
          <cell r="AJ10">
            <v>49125</v>
          </cell>
          <cell r="AK10">
            <v>49490</v>
          </cell>
          <cell r="AL10">
            <v>49856</v>
          </cell>
          <cell r="AM10">
            <v>50221</v>
          </cell>
          <cell r="AN10">
            <v>50586</v>
          </cell>
          <cell r="AO10">
            <v>50951</v>
          </cell>
          <cell r="AP10">
            <v>51317</v>
          </cell>
          <cell r="AQ10">
            <v>51682</v>
          </cell>
          <cell r="AR10">
            <v>52047</v>
          </cell>
          <cell r="AS10">
            <v>52412</v>
          </cell>
          <cell r="AT10">
            <v>52778</v>
          </cell>
          <cell r="AU10">
            <v>53143</v>
          </cell>
          <cell r="AV10">
            <v>53508</v>
          </cell>
          <cell r="AW10">
            <v>53873</v>
          </cell>
          <cell r="AX10">
            <v>54239</v>
          </cell>
          <cell r="AY10">
            <v>54604</v>
          </cell>
          <cell r="AZ10">
            <v>54969</v>
          </cell>
          <cell r="BA10">
            <v>55334</v>
          </cell>
        </row>
        <row r="44">
          <cell r="N44">
            <v>4836</v>
          </cell>
          <cell r="O44">
            <v>4727</v>
          </cell>
          <cell r="P44">
            <v>4727</v>
          </cell>
          <cell r="Q44">
            <v>4987</v>
          </cell>
          <cell r="R44">
            <v>5172</v>
          </cell>
          <cell r="S44">
            <v>5364</v>
          </cell>
          <cell r="T44">
            <v>5468</v>
          </cell>
          <cell r="U44">
            <v>5584</v>
          </cell>
          <cell r="V44">
            <v>5796</v>
          </cell>
          <cell r="W44">
            <v>5988</v>
          </cell>
          <cell r="X44">
            <v>6223.7750000000005</v>
          </cell>
          <cell r="Y44">
            <v>6410.4882500000003</v>
          </cell>
          <cell r="Z44">
            <v>6602.8028975000007</v>
          </cell>
          <cell r="AA44">
            <v>6800.8869844250003</v>
          </cell>
          <cell r="AB44">
            <v>7004.9135939577509</v>
          </cell>
          <cell r="AC44">
            <v>7215.061001776483</v>
          </cell>
          <cell r="AD44">
            <v>7431.5128318297775</v>
          </cell>
          <cell r="AE44">
            <v>7654.4582167846711</v>
          </cell>
          <cell r="AF44">
            <v>7884.0919632882096</v>
          </cell>
          <cell r="AG44">
            <v>8120.6147221868578</v>
          </cell>
          <cell r="AH44">
            <v>8364.2331638524629</v>
          </cell>
        </row>
        <row r="47">
          <cell r="N47">
            <v>11892</v>
          </cell>
          <cell r="O47">
            <v>11872</v>
          </cell>
          <cell r="P47">
            <v>11578</v>
          </cell>
          <cell r="Q47">
            <v>11617</v>
          </cell>
          <cell r="R47">
            <v>11678</v>
          </cell>
          <cell r="S47">
            <v>11656</v>
          </cell>
          <cell r="T47">
            <v>11695</v>
          </cell>
          <cell r="U47">
            <v>11655</v>
          </cell>
          <cell r="V47">
            <v>11719</v>
          </cell>
          <cell r="W47">
            <v>11721</v>
          </cell>
          <cell r="X47">
            <v>11951.167173288657</v>
          </cell>
          <cell r="Y47">
            <v>12259.308099278969</v>
          </cell>
          <cell r="Z47">
            <v>12607.002508070356</v>
          </cell>
          <cell r="AA47">
            <v>12905.013591520841</v>
          </cell>
          <cell r="AB47">
            <v>13198.408073748065</v>
          </cell>
          <cell r="AC47">
            <v>13508.4183929336</v>
          </cell>
          <cell r="AD47">
            <v>13841.58304062179</v>
          </cell>
          <cell r="AE47">
            <v>14197.572165377698</v>
          </cell>
          <cell r="AF47">
            <v>14568.145191463935</v>
          </cell>
          <cell r="AG47">
            <v>14926.120206157233</v>
          </cell>
          <cell r="AH47">
            <v>15297.42422577324</v>
          </cell>
        </row>
        <row r="50">
          <cell r="N50">
            <v>18176</v>
          </cell>
          <cell r="O50">
            <v>19144</v>
          </cell>
          <cell r="P50">
            <v>20276</v>
          </cell>
          <cell r="Q50">
            <v>20301</v>
          </cell>
          <cell r="R50">
            <v>20438</v>
          </cell>
          <cell r="S50">
            <v>20613</v>
          </cell>
          <cell r="T50">
            <v>20756</v>
          </cell>
          <cell r="U50">
            <v>20951</v>
          </cell>
          <cell r="V50">
            <v>21180</v>
          </cell>
          <cell r="W50">
            <v>21289</v>
          </cell>
          <cell r="X50">
            <v>21788.397114760868</v>
          </cell>
          <cell r="Y50">
            <v>22350.174618617806</v>
          </cell>
          <cell r="Z50">
            <v>22984.062819115978</v>
          </cell>
          <cell r="AA50">
            <v>23527.372416971139</v>
          </cell>
          <cell r="AB50">
            <v>24062.265402514349</v>
          </cell>
          <cell r="AC50">
            <v>24627.451032181136</v>
          </cell>
          <cell r="AD50">
            <v>25234.849752588478</v>
          </cell>
          <cell r="AE50">
            <v>25883.860205396282</v>
          </cell>
          <cell r="AF50">
            <v>26559.458842358847</v>
          </cell>
          <cell r="AG50">
            <v>27212.089808372992</v>
          </cell>
          <cell r="AH50">
            <v>27889.021133355403</v>
          </cell>
        </row>
        <row r="73">
          <cell r="N73">
            <v>1405380.04837277</v>
          </cell>
          <cell r="O73">
            <v>1355560.51210738</v>
          </cell>
          <cell r="P73">
            <v>1457227.55054119</v>
          </cell>
          <cell r="Q73">
            <v>1602950.3054255201</v>
          </cell>
          <cell r="R73">
            <v>1651038.8141850804</v>
          </cell>
          <cell r="S73">
            <v>1700569.9796342803</v>
          </cell>
          <cell r="T73">
            <v>1751587.0787111095</v>
          </cell>
          <cell r="U73">
            <v>1804134.6898191499</v>
          </cell>
          <cell r="V73">
            <v>1858258.7305649002</v>
          </cell>
          <cell r="W73">
            <v>1914006.4932807498</v>
          </cell>
          <cell r="X73">
            <v>2032956.5565714824</v>
          </cell>
          <cell r="Y73">
            <v>2093945.2532686268</v>
          </cell>
          <cell r="Z73">
            <v>2156763.6108666859</v>
          </cell>
          <cell r="AA73">
            <v>2221466.5191926868</v>
          </cell>
          <cell r="AB73">
            <v>2288110.5147684668</v>
          </cell>
          <cell r="AC73">
            <v>2356753.8302115207</v>
          </cell>
          <cell r="AD73">
            <v>2427456.4451178666</v>
          </cell>
          <cell r="AE73">
            <v>2500280.1384714036</v>
          </cell>
          <cell r="AF73">
            <v>2575288.5426255451</v>
          </cell>
          <cell r="AG73">
            <v>2652547.1989043113</v>
          </cell>
          <cell r="AH73">
            <v>2732123.6148714409</v>
          </cell>
        </row>
        <row r="150">
          <cell r="K150">
            <v>0</v>
          </cell>
          <cell r="L150">
            <v>0</v>
          </cell>
          <cell r="M150">
            <v>1</v>
          </cell>
          <cell r="N150">
            <v>2</v>
          </cell>
          <cell r="O150">
            <v>3</v>
          </cell>
          <cell r="P150">
            <v>4</v>
          </cell>
          <cell r="Q150">
            <v>5</v>
          </cell>
          <cell r="R150">
            <v>6</v>
          </cell>
          <cell r="S150">
            <v>7</v>
          </cell>
          <cell r="T150">
            <v>8</v>
          </cell>
          <cell r="U150">
            <v>9</v>
          </cell>
          <cell r="V150">
            <v>10</v>
          </cell>
          <cell r="W150">
            <v>11</v>
          </cell>
          <cell r="X150">
            <v>12</v>
          </cell>
        </row>
        <row r="152">
          <cell r="K152">
            <v>0</v>
          </cell>
        </row>
        <row r="153">
          <cell r="K153">
            <v>10</v>
          </cell>
        </row>
        <row r="154">
          <cell r="K154">
            <v>5</v>
          </cell>
        </row>
        <row r="155">
          <cell r="K155">
            <v>10</v>
          </cell>
        </row>
        <row r="156">
          <cell r="K156">
            <v>10</v>
          </cell>
        </row>
        <row r="157">
          <cell r="K157">
            <v>33.299999999999997</v>
          </cell>
        </row>
        <row r="158">
          <cell r="K158">
            <v>10</v>
          </cell>
        </row>
        <row r="159">
          <cell r="K159">
            <v>27</v>
          </cell>
        </row>
        <row r="160">
          <cell r="K160">
            <v>40</v>
          </cell>
        </row>
        <row r="161">
          <cell r="K161">
            <v>4</v>
          </cell>
        </row>
      </sheetData>
      <sheetData sheetId="12" refreshError="1">
        <row r="164">
          <cell r="N164">
            <v>0</v>
          </cell>
        </row>
        <row r="165">
          <cell r="N165">
            <v>0.34466655110425948</v>
          </cell>
          <cell r="O165">
            <v>0.34466655110425948</v>
          </cell>
          <cell r="P165">
            <v>0.34466655110425948</v>
          </cell>
          <cell r="Q165">
            <v>0.34466655110425948</v>
          </cell>
          <cell r="R165">
            <v>0.34466655110425948</v>
          </cell>
          <cell r="S165">
            <v>0.34466655110425948</v>
          </cell>
          <cell r="T165">
            <v>0.34466655110425948</v>
          </cell>
          <cell r="U165">
            <v>0.34466655110425948</v>
          </cell>
          <cell r="V165">
            <v>0.34466655110425948</v>
          </cell>
          <cell r="W165">
            <v>0.34466655110425948</v>
          </cell>
          <cell r="X165">
            <v>0.34466655110425948</v>
          </cell>
          <cell r="Y165">
            <v>0.34466655110425948</v>
          </cell>
        </row>
        <row r="166">
          <cell r="N166">
            <v>0.21188045925959786</v>
          </cell>
          <cell r="O166">
            <v>0.21188045925959786</v>
          </cell>
          <cell r="P166">
            <v>0.21188045925959786</v>
          </cell>
          <cell r="Q166">
            <v>0.21188045925959786</v>
          </cell>
          <cell r="R166">
            <v>0.21188045925959786</v>
          </cell>
          <cell r="S166">
            <v>0.21188045925959786</v>
          </cell>
          <cell r="T166">
            <v>0.21188045925959786</v>
          </cell>
          <cell r="U166">
            <v>0.21188045925959786</v>
          </cell>
          <cell r="V166">
            <v>0.21188045925959786</v>
          </cell>
          <cell r="W166">
            <v>0.21188045925959786</v>
          </cell>
          <cell r="X166">
            <v>0.21188045925959786</v>
          </cell>
          <cell r="Y166">
            <v>0.21188045925959786</v>
          </cell>
        </row>
        <row r="167">
          <cell r="N167">
            <v>2.505702594448599E-2</v>
          </cell>
          <cell r="O167">
            <v>2.505702594448599E-2</v>
          </cell>
          <cell r="P167">
            <v>2.505702594448599E-2</v>
          </cell>
          <cell r="Q167">
            <v>2.505702594448599E-2</v>
          </cell>
          <cell r="R167">
            <v>2.505702594448599E-2</v>
          </cell>
          <cell r="S167">
            <v>2.505702594448599E-2</v>
          </cell>
          <cell r="T167">
            <v>2.505702594448599E-2</v>
          </cell>
          <cell r="U167">
            <v>2.505702594448599E-2</v>
          </cell>
          <cell r="V167">
            <v>2.505702594448599E-2</v>
          </cell>
          <cell r="W167">
            <v>2.505702594448599E-2</v>
          </cell>
          <cell r="X167">
            <v>2.505702594448599E-2</v>
          </cell>
          <cell r="Y167">
            <v>2.505702594448599E-2</v>
          </cell>
        </row>
        <row r="168">
          <cell r="N168">
            <v>0.38603749708732144</v>
          </cell>
          <cell r="O168">
            <v>0.38603749708732144</v>
          </cell>
          <cell r="P168">
            <v>0.38603749708732144</v>
          </cell>
          <cell r="Q168">
            <v>0.38603749708732144</v>
          </cell>
          <cell r="R168">
            <v>0.38603749708732144</v>
          </cell>
          <cell r="S168">
            <v>0.38603749708732144</v>
          </cell>
          <cell r="T168">
            <v>0.38603749708732144</v>
          </cell>
          <cell r="U168">
            <v>0.38603749708732144</v>
          </cell>
          <cell r="V168">
            <v>0.38603749708732144</v>
          </cell>
          <cell r="W168">
            <v>0.38603749708732144</v>
          </cell>
          <cell r="X168">
            <v>0.38603749708732144</v>
          </cell>
          <cell r="Y168">
            <v>0.38603749708732144</v>
          </cell>
        </row>
        <row r="169">
          <cell r="N169">
            <v>2.2650926623034678E-2</v>
          </cell>
          <cell r="O169">
            <v>2.2650926623034678E-2</v>
          </cell>
          <cell r="P169">
            <v>2.2650926623034678E-2</v>
          </cell>
          <cell r="Q169">
            <v>2.2650926623034678E-2</v>
          </cell>
          <cell r="R169">
            <v>2.2650926623034678E-2</v>
          </cell>
          <cell r="S169">
            <v>2.2650926623034678E-2</v>
          </cell>
          <cell r="T169">
            <v>2.2650926623034678E-2</v>
          </cell>
          <cell r="U169">
            <v>2.2650926623034678E-2</v>
          </cell>
          <cell r="V169">
            <v>2.2650926623034678E-2</v>
          </cell>
          <cell r="W169">
            <v>2.2650926623034678E-2</v>
          </cell>
          <cell r="X169">
            <v>2.2650926623034678E-2</v>
          </cell>
          <cell r="Y169">
            <v>2.2650926623034678E-2</v>
          </cell>
        </row>
        <row r="170">
          <cell r="N170">
            <v>0</v>
          </cell>
        </row>
        <row r="171">
          <cell r="N171">
            <v>0</v>
          </cell>
        </row>
        <row r="172">
          <cell r="N172">
            <v>7.0110010976059721E-3</v>
          </cell>
          <cell r="O172">
            <v>7.0110010976059721E-3</v>
          </cell>
          <cell r="P172">
            <v>7.0110010976059721E-3</v>
          </cell>
          <cell r="Q172">
            <v>7.0110010976059721E-3</v>
          </cell>
          <cell r="R172">
            <v>7.0110010976059721E-3</v>
          </cell>
          <cell r="S172">
            <v>7.0110010976059721E-3</v>
          </cell>
          <cell r="T172">
            <v>7.0110010976059721E-3</v>
          </cell>
          <cell r="U172">
            <v>7.0110010976059721E-3</v>
          </cell>
          <cell r="V172">
            <v>7.0110010976059721E-3</v>
          </cell>
          <cell r="W172">
            <v>7.0110010976059721E-3</v>
          </cell>
          <cell r="X172">
            <v>7.0110010976059721E-3</v>
          </cell>
          <cell r="Y172">
            <v>7.0110010976059721E-3</v>
          </cell>
        </row>
        <row r="173">
          <cell r="N173">
            <v>2.6965388836946041E-3</v>
          </cell>
          <cell r="O173">
            <v>2.6965388836946041E-3</v>
          </cell>
          <cell r="P173">
            <v>2.6965388836946041E-3</v>
          </cell>
          <cell r="Q173">
            <v>2.6965388836946041E-3</v>
          </cell>
          <cell r="R173">
            <v>2.6965388836946041E-3</v>
          </cell>
          <cell r="S173">
            <v>2.6965388836946041E-3</v>
          </cell>
          <cell r="T173">
            <v>2.6965388836946041E-3</v>
          </cell>
          <cell r="U173">
            <v>2.6965388836946041E-3</v>
          </cell>
          <cell r="V173">
            <v>2.6965388836946041E-3</v>
          </cell>
          <cell r="W173">
            <v>2.6965388836946041E-3</v>
          </cell>
          <cell r="X173">
            <v>2.6965388836946041E-3</v>
          </cell>
          <cell r="Y173">
            <v>2.6965388836946041E-3</v>
          </cell>
        </row>
      </sheetData>
      <sheetData sheetId="13" refreshError="1"/>
      <sheetData sheetId="14" refreshError="1">
        <row r="43">
          <cell r="N43">
            <v>0.34120868613462629</v>
          </cell>
          <cell r="O43">
            <v>0.34120868613462629</v>
          </cell>
          <cell r="P43">
            <v>0.34120868613462629</v>
          </cell>
          <cell r="Q43">
            <v>0.34120868613462629</v>
          </cell>
          <cell r="R43">
            <v>0.34120868613462629</v>
          </cell>
          <cell r="S43">
            <v>0.34120868613462629</v>
          </cell>
          <cell r="T43">
            <v>0.34120868613462629</v>
          </cell>
          <cell r="U43">
            <v>0.34120868613462629</v>
          </cell>
          <cell r="V43">
            <v>0.34120868613462629</v>
          </cell>
          <cell r="W43">
            <v>0.34120868613462629</v>
          </cell>
          <cell r="X43">
            <v>0.34120868613462629</v>
          </cell>
          <cell r="Y43">
            <v>0.34120868613462629</v>
          </cell>
        </row>
        <row r="44">
          <cell r="N44">
            <v>9.8503367175677453E-2</v>
          </cell>
          <cell r="O44">
            <v>9.8503367175677453E-2</v>
          </cell>
          <cell r="P44">
            <v>9.8503367175677453E-2</v>
          </cell>
          <cell r="Q44">
            <v>9.8503367175677453E-2</v>
          </cell>
          <cell r="R44">
            <v>9.8503367175677439E-2</v>
          </cell>
          <cell r="S44">
            <v>9.8503367175677439E-2</v>
          </cell>
          <cell r="T44">
            <v>9.8503367175677467E-2</v>
          </cell>
          <cell r="U44">
            <v>9.8503367175677467E-2</v>
          </cell>
          <cell r="V44">
            <v>9.8503367175677439E-2</v>
          </cell>
          <cell r="W44">
            <v>9.8503367175677439E-2</v>
          </cell>
          <cell r="X44">
            <v>9.8503367175677439E-2</v>
          </cell>
          <cell r="Y44">
            <v>9.8503367175677439E-2</v>
          </cell>
        </row>
        <row r="45">
          <cell r="N45">
            <v>0.11124727492035916</v>
          </cell>
          <cell r="O45">
            <v>0.11124727492035916</v>
          </cell>
          <cell r="P45">
            <v>0.11124727492035916</v>
          </cell>
          <cell r="Q45">
            <v>0.11124727492035917</v>
          </cell>
          <cell r="R45">
            <v>0.11124727492035916</v>
          </cell>
          <cell r="S45">
            <v>0.11124727492035916</v>
          </cell>
          <cell r="T45">
            <v>0.11124727492035916</v>
          </cell>
          <cell r="U45">
            <v>0.11124727492035916</v>
          </cell>
          <cell r="V45">
            <v>0.11124727492035916</v>
          </cell>
          <cell r="W45">
            <v>0.11124727492035916</v>
          </cell>
          <cell r="X45">
            <v>0.11124727492035916</v>
          </cell>
          <cell r="Y45">
            <v>0.11124727492035914</v>
          </cell>
        </row>
        <row r="46">
          <cell r="N46">
            <v>5.3485259744206051E-2</v>
          </cell>
          <cell r="O46">
            <v>5.3485259744206037E-2</v>
          </cell>
          <cell r="P46">
            <v>5.3485259744206037E-2</v>
          </cell>
          <cell r="Q46">
            <v>5.3485259744206044E-2</v>
          </cell>
          <cell r="R46">
            <v>5.348525974420603E-2</v>
          </cell>
          <cell r="S46">
            <v>5.3485259744206044E-2</v>
          </cell>
          <cell r="T46">
            <v>5.3485259744206044E-2</v>
          </cell>
          <cell r="U46">
            <v>5.3485259744206044E-2</v>
          </cell>
          <cell r="V46">
            <v>5.3485259744206044E-2</v>
          </cell>
          <cell r="W46">
            <v>5.3485259744206051E-2</v>
          </cell>
          <cell r="X46">
            <v>5.3485259744206044E-2</v>
          </cell>
          <cell r="Y46">
            <v>5.3485259744206044E-2</v>
          </cell>
        </row>
        <row r="59">
          <cell r="N59">
            <v>0.17820371302881113</v>
          </cell>
          <cell r="O59">
            <v>0.19300505674870566</v>
          </cell>
          <cell r="P59">
            <v>0.20458553079665209</v>
          </cell>
          <cell r="Q59">
            <v>0.18222559710350789</v>
          </cell>
          <cell r="R59">
            <v>0.18872756872181332</v>
          </cell>
          <cell r="S59">
            <v>0.19333335990403497</v>
          </cell>
          <cell r="T59">
            <v>0.21377088110723749</v>
          </cell>
          <cell r="U59">
            <v>0.21738773023955307</v>
          </cell>
          <cell r="V59">
            <v>0.22197479436851647</v>
          </cell>
          <cell r="W59">
            <v>0.22488574964637736</v>
          </cell>
          <cell r="X59">
            <v>0.22840475131741267</v>
          </cell>
          <cell r="Y59">
            <v>0.23251819222652581</v>
          </cell>
        </row>
        <row r="60">
          <cell r="N60">
            <v>0.37324942029870262</v>
          </cell>
          <cell r="O60">
            <v>0.34024239623699115</v>
          </cell>
          <cell r="P60">
            <v>0.32726282933662476</v>
          </cell>
          <cell r="Q60">
            <v>0.34921970419038079</v>
          </cell>
          <cell r="R60">
            <v>0.34830324228209136</v>
          </cell>
          <cell r="S60">
            <v>0.34807076730151926</v>
          </cell>
          <cell r="T60">
            <v>0.39526050157935744</v>
          </cell>
          <cell r="U60">
            <v>0.39610161945537697</v>
          </cell>
          <cell r="V60">
            <v>0.3973901897874425</v>
          </cell>
          <cell r="W60">
            <v>0.39901946008483397</v>
          </cell>
          <cell r="X60">
            <v>0.40424746631038233</v>
          </cell>
          <cell r="Y60">
            <v>0.40480752078568949</v>
          </cell>
        </row>
        <row r="61">
          <cell r="N61">
            <v>5.2990249466163351E-3</v>
          </cell>
          <cell r="O61">
            <v>1.4408779730107896E-2</v>
          </cell>
          <cell r="P61">
            <v>2.1104144805381083E-2</v>
          </cell>
          <cell r="Q61">
            <v>2.4730531596916207E-2</v>
          </cell>
          <cell r="R61">
            <v>2.475104377963299E-2</v>
          </cell>
          <cell r="S61">
            <v>2.4667619057964149E-2</v>
          </cell>
          <cell r="T61">
            <v>2.6658748328397854E-2</v>
          </cell>
          <cell r="U61">
            <v>2.6373042751121234E-2</v>
          </cell>
          <cell r="V61">
            <v>2.6207202844781827E-2</v>
          </cell>
          <cell r="W61">
            <v>2.6005928920622357E-2</v>
          </cell>
          <cell r="X61">
            <v>2.5957870485779407E-2</v>
          </cell>
          <cell r="Y61">
            <v>2.6335912287323442E-2</v>
          </cell>
        </row>
        <row r="62">
          <cell r="N62">
            <v>3.2626750658365212E-3</v>
          </cell>
          <cell r="O62">
            <v>3.6170923727322883E-3</v>
          </cell>
          <cell r="P62">
            <v>3.8490122008507798E-3</v>
          </cell>
          <cell r="Q62">
            <v>3.8711176333652599E-3</v>
          </cell>
          <cell r="R62">
            <v>3.882397939294519E-3</v>
          </cell>
          <cell r="S62">
            <v>3.915920772973122E-3</v>
          </cell>
          <cell r="T62">
            <v>6.2089902491091111E-3</v>
          </cell>
          <cell r="U62">
            <v>6.2314106753277839E-3</v>
          </cell>
          <cell r="V62">
            <v>6.2309006493444247E-3</v>
          </cell>
          <cell r="W62">
            <v>6.2186705025138204E-3</v>
          </cell>
          <cell r="X62">
            <v>6.2308123398070571E-3</v>
          </cell>
          <cell r="Y62">
            <v>6.3215558206066056E-3</v>
          </cell>
        </row>
        <row r="75">
          <cell r="N75">
            <v>0.54168041189721361</v>
          </cell>
          <cell r="O75">
            <v>0.30462944057218233</v>
          </cell>
          <cell r="P75">
            <v>0.31306155393201757</v>
          </cell>
          <cell r="Q75">
            <v>0.31381705618052391</v>
          </cell>
          <cell r="R75">
            <v>0.31457921809625494</v>
          </cell>
          <cell r="S75">
            <v>0.31534809838342753</v>
          </cell>
          <cell r="T75">
            <v>0.31577733778493833</v>
          </cell>
          <cell r="U75">
            <v>0.31620867103718836</v>
          </cell>
          <cell r="V75">
            <v>0.31664210835408352</v>
          </cell>
          <cell r="W75">
            <v>0.31707765999935378</v>
          </cell>
          <cell r="X75">
            <v>0.31751533628679601</v>
          </cell>
          <cell r="Y75">
            <v>0.31795514758051852</v>
          </cell>
        </row>
        <row r="76">
          <cell r="N76">
            <v>4.8178677691670592E-2</v>
          </cell>
          <cell r="O76">
            <v>6.3228301258888342E-2</v>
          </cell>
          <cell r="P76">
            <v>5.621289519587061E-2</v>
          </cell>
          <cell r="Q76">
            <v>5.5618215483074017E-2</v>
          </cell>
          <cell r="R76">
            <v>5.5018293735590654E-2</v>
          </cell>
          <cell r="S76">
            <v>5.4413083745475252E-2</v>
          </cell>
          <cell r="T76">
            <v>5.4075215837714324E-2</v>
          </cell>
          <cell r="U76">
            <v>5.3735699793817968E-2</v>
          </cell>
          <cell r="V76">
            <v>5.3394527574097753E-2</v>
          </cell>
          <cell r="W76">
            <v>5.3051691099647198E-2</v>
          </cell>
          <cell r="X76">
            <v>5.2707182252150535E-2</v>
          </cell>
          <cell r="Y76">
            <v>5.2360992873690469E-2</v>
          </cell>
        </row>
        <row r="77">
          <cell r="N77">
            <v>2.9617380401800043E-2</v>
          </cell>
          <cell r="O77">
            <v>3.8868992265179252E-2</v>
          </cell>
          <cell r="P77">
            <v>3.4556338618451782E-2</v>
          </cell>
          <cell r="Q77">
            <v>3.4190764963984828E-2</v>
          </cell>
          <cell r="R77">
            <v>3.3821968818929994E-2</v>
          </cell>
          <cell r="S77">
            <v>3.3449921777395759E-2</v>
          </cell>
          <cell r="T77">
            <v>3.3242220718978255E-2</v>
          </cell>
          <cell r="U77">
            <v>3.303350648466602E-2</v>
          </cell>
          <cell r="V77">
            <v>3.2823774132137655E-2</v>
          </cell>
          <cell r="W77">
            <v>3.2613018694962803E-2</v>
          </cell>
          <cell r="X77">
            <v>3.2401235182484667E-2</v>
          </cell>
          <cell r="Y77">
            <v>3.2188418579701741E-2</v>
          </cell>
        </row>
        <row r="78">
          <cell r="N78">
            <v>3.5025573935836994E-3</v>
          </cell>
          <cell r="O78">
            <v>4.5966548827956798E-3</v>
          </cell>
          <cell r="P78">
            <v>4.0866395907142453E-3</v>
          </cell>
          <cell r="Q78">
            <v>4.0434067764348698E-3</v>
          </cell>
          <cell r="R78">
            <v>3.9997928697671319E-3</v>
          </cell>
          <cell r="S78">
            <v>3.9557945114245593E-3</v>
          </cell>
          <cell r="T78">
            <v>3.9312317422685412E-3</v>
          </cell>
          <cell r="U78">
            <v>3.9065491547263962E-3</v>
          </cell>
          <cell r="V78">
            <v>3.8817461643181933E-3</v>
          </cell>
          <cell r="W78">
            <v>3.8568221837128771E-3</v>
          </cell>
          <cell r="X78">
            <v>3.8317766227143643E-3</v>
          </cell>
          <cell r="Y78">
            <v>3.8066088882475653E-3</v>
          </cell>
        </row>
        <row r="91">
          <cell r="N91">
            <v>0.26159828145996061</v>
          </cell>
          <cell r="O91">
            <v>0.25603200383760139</v>
          </cell>
          <cell r="P91">
            <v>0.25915017767528109</v>
          </cell>
          <cell r="Q91">
            <v>0.25915017767528109</v>
          </cell>
          <cell r="R91">
            <v>0.25915017767528109</v>
          </cell>
          <cell r="S91">
            <v>0.25915017767528103</v>
          </cell>
          <cell r="T91">
            <v>0.25915017767528103</v>
          </cell>
          <cell r="U91">
            <v>0.25915017767528109</v>
          </cell>
          <cell r="V91">
            <v>0.25915017767528109</v>
          </cell>
          <cell r="W91">
            <v>0.25915017767528109</v>
          </cell>
          <cell r="X91">
            <v>0.25915017767528109</v>
          </cell>
          <cell r="Y91">
            <v>0.25915017767528103</v>
          </cell>
        </row>
        <row r="92">
          <cell r="N92">
            <v>0.15548117010864837</v>
          </cell>
          <cell r="O92">
            <v>0.15822722794828639</v>
          </cell>
          <cell r="P92">
            <v>0.15668891342406668</v>
          </cell>
          <cell r="Q92">
            <v>0.15668891342406668</v>
          </cell>
          <cell r="R92">
            <v>0.15668891342406666</v>
          </cell>
          <cell r="S92">
            <v>0.15668891342406666</v>
          </cell>
          <cell r="T92">
            <v>0.15668891342406666</v>
          </cell>
          <cell r="U92">
            <v>0.15668891342406671</v>
          </cell>
          <cell r="V92">
            <v>0.15668891342406668</v>
          </cell>
          <cell r="W92">
            <v>0.15668891342406668</v>
          </cell>
          <cell r="X92">
            <v>0.15668891342406666</v>
          </cell>
          <cell r="Y92">
            <v>0.15668891342406666</v>
          </cell>
        </row>
        <row r="93">
          <cell r="N93">
            <v>0.10190000445137092</v>
          </cell>
          <cell r="O93">
            <v>0.10434269291355779</v>
          </cell>
          <cell r="P93">
            <v>0.10297432292320778</v>
          </cell>
          <cell r="Q93">
            <v>0.1029743229232078</v>
          </cell>
          <cell r="R93">
            <v>0.10297432292320782</v>
          </cell>
          <cell r="S93">
            <v>0.10297432292320778</v>
          </cell>
          <cell r="T93">
            <v>0.1029743229232078</v>
          </cell>
          <cell r="U93">
            <v>0.10297432292320781</v>
          </cell>
          <cell r="V93">
            <v>0.10297432292320782</v>
          </cell>
          <cell r="W93">
            <v>0.1029743229232078</v>
          </cell>
          <cell r="X93">
            <v>0.10297432292320781</v>
          </cell>
          <cell r="Y93">
            <v>0.1029743229232078</v>
          </cell>
        </row>
        <row r="94">
          <cell r="N94">
            <v>1.4142433105572276E-2</v>
          </cell>
          <cell r="O94">
            <v>1.4681068308050197E-2</v>
          </cell>
          <cell r="P94">
            <v>1.4379330178842749E-2</v>
          </cell>
          <cell r="Q94">
            <v>1.4379330178842751E-2</v>
          </cell>
          <cell r="R94">
            <v>1.4379330178842754E-2</v>
          </cell>
          <cell r="S94">
            <v>1.4379330178842751E-2</v>
          </cell>
          <cell r="T94">
            <v>1.4379330178842749E-2</v>
          </cell>
          <cell r="U94">
            <v>1.4379330178842752E-2</v>
          </cell>
          <cell r="V94">
            <v>1.4379330178842754E-2</v>
          </cell>
          <cell r="W94">
            <v>1.4379330178842752E-2</v>
          </cell>
          <cell r="X94">
            <v>1.4379330178842752E-2</v>
          </cell>
          <cell r="Y94">
            <v>1.4379330178842751E-2</v>
          </cell>
        </row>
        <row r="107">
          <cell r="N107">
            <v>0.20963919021991614</v>
          </cell>
          <cell r="O107">
            <v>0.2096391902199162</v>
          </cell>
          <cell r="P107">
            <v>0.2096391902199162</v>
          </cell>
          <cell r="Q107">
            <v>0.2096391902199162</v>
          </cell>
          <cell r="R107">
            <v>0.2096391902199162</v>
          </cell>
          <cell r="S107">
            <v>0.20963919021991617</v>
          </cell>
          <cell r="T107">
            <v>0.20963919021991617</v>
          </cell>
          <cell r="U107">
            <v>0.2096391902199162</v>
          </cell>
          <cell r="V107">
            <v>0.2096391902199162</v>
          </cell>
          <cell r="W107">
            <v>0.20963919021991623</v>
          </cell>
          <cell r="X107">
            <v>0.20963919021991617</v>
          </cell>
          <cell r="Y107">
            <v>0.20963919021991623</v>
          </cell>
        </row>
        <row r="108">
          <cell r="N108">
            <v>0.16925566134874448</v>
          </cell>
          <cell r="O108">
            <v>0.16925566134874453</v>
          </cell>
          <cell r="P108">
            <v>0.16925566134874451</v>
          </cell>
          <cell r="Q108">
            <v>0.16925566134874451</v>
          </cell>
          <cell r="R108">
            <v>0.16925566134874453</v>
          </cell>
          <cell r="S108">
            <v>0.16925566134874451</v>
          </cell>
          <cell r="T108">
            <v>0.13693720495274986</v>
          </cell>
          <cell r="U108">
            <v>0.13693720495274983</v>
          </cell>
          <cell r="V108">
            <v>0.13693720495274986</v>
          </cell>
          <cell r="W108">
            <v>0.13693720495274986</v>
          </cell>
          <cell r="X108">
            <v>0.13693720495274983</v>
          </cell>
          <cell r="Y108">
            <v>0.13693720495274986</v>
          </cell>
        </row>
        <row r="109">
          <cell r="N109">
            <v>6.5118865011155741E-2</v>
          </cell>
          <cell r="O109">
            <v>6.5118865011155755E-2</v>
          </cell>
          <cell r="P109">
            <v>6.5118865011155741E-2</v>
          </cell>
          <cell r="Q109">
            <v>6.5118865011155741E-2</v>
          </cell>
          <cell r="R109">
            <v>6.5118865011155741E-2</v>
          </cell>
          <cell r="S109">
            <v>6.5118865011155741E-2</v>
          </cell>
          <cell r="T109">
            <v>8.4180834438841931E-2</v>
          </cell>
          <cell r="U109">
            <v>8.4180834438841917E-2</v>
          </cell>
          <cell r="V109">
            <v>8.4180834438841931E-2</v>
          </cell>
          <cell r="W109">
            <v>8.4180834438841945E-2</v>
          </cell>
          <cell r="X109">
            <v>8.4180834438841917E-2</v>
          </cell>
          <cell r="Y109">
            <v>8.4180834438841931E-2</v>
          </cell>
        </row>
        <row r="110">
          <cell r="N110">
            <v>6.9686249625177284E-3</v>
          </cell>
          <cell r="O110">
            <v>6.9686249625177292E-3</v>
          </cell>
          <cell r="P110">
            <v>6.9686249625177284E-3</v>
          </cell>
          <cell r="Q110">
            <v>6.9686249625177284E-3</v>
          </cell>
          <cell r="R110">
            <v>6.9686249625177284E-3</v>
          </cell>
          <cell r="S110">
            <v>6.9686249625177275E-3</v>
          </cell>
          <cell r="T110">
            <v>9.9552424982153817E-3</v>
          </cell>
          <cell r="U110">
            <v>9.9552424982153817E-3</v>
          </cell>
          <cell r="V110">
            <v>9.9552424982153834E-3</v>
          </cell>
          <cell r="W110">
            <v>9.9552424982153852E-3</v>
          </cell>
          <cell r="X110">
            <v>9.9552424982153817E-3</v>
          </cell>
          <cell r="Y110">
            <v>9.9552424982153834E-3</v>
          </cell>
        </row>
        <row r="123">
          <cell r="N123">
            <v>7.3765415065631772E-3</v>
          </cell>
          <cell r="O123">
            <v>7.3765415065631772E-3</v>
          </cell>
          <cell r="P123">
            <v>7.3765415065631772E-3</v>
          </cell>
          <cell r="Q123">
            <v>7.3765415065631772E-3</v>
          </cell>
          <cell r="R123">
            <v>7.3765415065631772E-3</v>
          </cell>
          <cell r="S123">
            <v>7.3765415065631772E-3</v>
          </cell>
          <cell r="T123">
            <v>7.3765415065631772E-3</v>
          </cell>
          <cell r="U123">
            <v>7.3765415065631772E-3</v>
          </cell>
          <cell r="V123">
            <v>7.3765415065631772E-3</v>
          </cell>
          <cell r="W123">
            <v>7.3765415065631772E-3</v>
          </cell>
          <cell r="X123">
            <v>7.3765415065631772E-3</v>
          </cell>
          <cell r="Y123">
            <v>7.3765415065631772E-3</v>
          </cell>
        </row>
        <row r="124">
          <cell r="N124">
            <v>0.32071166445560345</v>
          </cell>
          <cell r="O124">
            <v>0.32071166445560345</v>
          </cell>
          <cell r="P124">
            <v>0.32071166445560345</v>
          </cell>
          <cell r="Q124">
            <v>0.32071166445560345</v>
          </cell>
          <cell r="R124">
            <v>0.32071166445560345</v>
          </cell>
          <cell r="S124">
            <v>0.32071166445560345</v>
          </cell>
          <cell r="T124">
            <v>0.32071166445560345</v>
          </cell>
          <cell r="U124">
            <v>0.32071166445560345</v>
          </cell>
          <cell r="V124">
            <v>0.32071166445560345</v>
          </cell>
          <cell r="W124">
            <v>0.32071166445560345</v>
          </cell>
          <cell r="X124">
            <v>0.32071166445560345</v>
          </cell>
          <cell r="Y124">
            <v>0.32071166445560345</v>
          </cell>
        </row>
        <row r="125">
          <cell r="N125">
            <v>0.19715442225842242</v>
          </cell>
          <cell r="O125">
            <v>0.19715442225842242</v>
          </cell>
          <cell r="P125">
            <v>0.19715442225842242</v>
          </cell>
          <cell r="Q125">
            <v>0.19715442225842242</v>
          </cell>
          <cell r="R125">
            <v>0.19715442225842242</v>
          </cell>
          <cell r="S125">
            <v>0.19715442225842242</v>
          </cell>
          <cell r="T125">
            <v>0.19715442225842242</v>
          </cell>
          <cell r="U125">
            <v>0.19715442225842242</v>
          </cell>
          <cell r="V125">
            <v>0.19715442225842242</v>
          </cell>
          <cell r="W125">
            <v>0.19715442225842242</v>
          </cell>
          <cell r="X125">
            <v>0.19715442225842242</v>
          </cell>
          <cell r="Y125">
            <v>0.19715442225842242</v>
          </cell>
        </row>
        <row r="126">
          <cell r="N126">
            <v>2.331552183180223E-2</v>
          </cell>
          <cell r="O126">
            <v>2.331552183180223E-2</v>
          </cell>
          <cell r="P126">
            <v>2.331552183180223E-2</v>
          </cell>
          <cell r="Q126">
            <v>2.331552183180223E-2</v>
          </cell>
          <cell r="R126">
            <v>2.331552183180223E-2</v>
          </cell>
          <cell r="S126">
            <v>2.331552183180223E-2</v>
          </cell>
          <cell r="T126">
            <v>2.331552183180223E-2</v>
          </cell>
          <cell r="U126">
            <v>2.331552183180223E-2</v>
          </cell>
          <cell r="V126">
            <v>2.331552183180223E-2</v>
          </cell>
          <cell r="W126">
            <v>2.331552183180223E-2</v>
          </cell>
          <cell r="X126">
            <v>2.331552183180223E-2</v>
          </cell>
          <cell r="Y126">
            <v>2.331552183180223E-2</v>
          </cell>
        </row>
        <row r="139">
          <cell r="N139">
            <v>2.4561495760499874E-2</v>
          </cell>
          <cell r="O139">
            <v>2.4561495760499884E-2</v>
          </cell>
          <cell r="P139">
            <v>2.4561495760499878E-2</v>
          </cell>
          <cell r="Q139">
            <v>2.4561495760499874E-2</v>
          </cell>
          <cell r="R139">
            <v>2.4561495760499881E-2</v>
          </cell>
          <cell r="S139">
            <v>2.4561495760499881E-2</v>
          </cell>
          <cell r="T139">
            <v>2.4561495760499878E-2</v>
          </cell>
          <cell r="U139">
            <v>2.4561495760499878E-2</v>
          </cell>
          <cell r="V139">
            <v>2.4561495760499878E-2</v>
          </cell>
          <cell r="W139">
            <v>2.4561495760499878E-2</v>
          </cell>
          <cell r="X139">
            <v>2.4561495760499878E-2</v>
          </cell>
          <cell r="Y139">
            <v>2.4561495760499881E-2</v>
          </cell>
        </row>
        <row r="140">
          <cell r="N140">
            <v>0.29576764205957679</v>
          </cell>
          <cell r="O140">
            <v>0.29576764205957684</v>
          </cell>
          <cell r="P140">
            <v>0.29576764205957679</v>
          </cell>
          <cell r="Q140">
            <v>0.29576764205957679</v>
          </cell>
          <cell r="R140">
            <v>0.29576764205957684</v>
          </cell>
          <cell r="S140">
            <v>0.29576764205957684</v>
          </cell>
          <cell r="T140">
            <v>0.29576764205957684</v>
          </cell>
          <cell r="U140">
            <v>0.29576764205957679</v>
          </cell>
          <cell r="V140">
            <v>0.29576764205957679</v>
          </cell>
          <cell r="W140">
            <v>0.29576764205957684</v>
          </cell>
          <cell r="X140">
            <v>0.29576764205957684</v>
          </cell>
          <cell r="Y140">
            <v>0.2957676420595769</v>
          </cell>
        </row>
        <row r="141">
          <cell r="N141">
            <v>0.18130880322563292</v>
          </cell>
          <cell r="O141">
            <v>0.18130880322563295</v>
          </cell>
          <cell r="P141">
            <v>0.18130880322563289</v>
          </cell>
          <cell r="Q141">
            <v>0.18130880322563292</v>
          </cell>
          <cell r="R141">
            <v>0.18130880322563295</v>
          </cell>
          <cell r="S141">
            <v>0.18130880322563298</v>
          </cell>
          <cell r="T141">
            <v>0.18130880322563295</v>
          </cell>
          <cell r="U141">
            <v>0.18130880322563292</v>
          </cell>
          <cell r="V141">
            <v>0.18130880322563295</v>
          </cell>
          <cell r="W141">
            <v>0.18130880322563292</v>
          </cell>
          <cell r="X141">
            <v>0.18130880322563295</v>
          </cell>
          <cell r="Y141">
            <v>0.18130880322563298</v>
          </cell>
        </row>
        <row r="142">
          <cell r="N142">
            <v>2.1502108217006714E-2</v>
          </cell>
          <cell r="O142">
            <v>2.1502108217006714E-2</v>
          </cell>
          <cell r="P142">
            <v>2.150210821700671E-2</v>
          </cell>
          <cell r="Q142">
            <v>2.1502108217006714E-2</v>
          </cell>
          <cell r="R142">
            <v>2.1502108217006714E-2</v>
          </cell>
          <cell r="S142">
            <v>2.1502108217006717E-2</v>
          </cell>
          <cell r="T142">
            <v>2.1502108217006717E-2</v>
          </cell>
          <cell r="U142">
            <v>2.1502108217006714E-2</v>
          </cell>
          <cell r="V142">
            <v>2.1502108217006717E-2</v>
          </cell>
          <cell r="W142">
            <v>2.1502108217006714E-2</v>
          </cell>
          <cell r="X142">
            <v>2.1502108217006717E-2</v>
          </cell>
          <cell r="Y142">
            <v>2.1502108217006721E-2</v>
          </cell>
        </row>
        <row r="155">
          <cell r="N155">
            <v>5.2490448133217092E-2</v>
          </cell>
          <cell r="O155">
            <v>5.2490448133217092E-2</v>
          </cell>
          <cell r="P155">
            <v>5.2490448133217092E-2</v>
          </cell>
          <cell r="Q155">
            <v>5.2490448133217092E-2</v>
          </cell>
          <cell r="R155">
            <v>5.2490448133217092E-2</v>
          </cell>
          <cell r="S155">
            <v>5.2490448133217092E-2</v>
          </cell>
          <cell r="T155">
            <v>5.2490448133217092E-2</v>
          </cell>
          <cell r="U155">
            <v>5.2490448133217092E-2</v>
          </cell>
          <cell r="V155">
            <v>5.2490448133217092E-2</v>
          </cell>
          <cell r="W155">
            <v>5.2490448133217092E-2</v>
          </cell>
          <cell r="X155">
            <v>5.2490448133217092E-2</v>
          </cell>
          <cell r="Y155">
            <v>5.2490448133217092E-2</v>
          </cell>
        </row>
        <row r="156">
          <cell r="N156">
            <v>0.12368117228369491</v>
          </cell>
          <cell r="O156">
            <v>0.12532162374142261</v>
          </cell>
          <cell r="P156">
            <v>0.12609043858447194</v>
          </cell>
          <cell r="Q156">
            <v>0.12640655898884956</v>
          </cell>
          <cell r="R156">
            <v>0.12671618257069087</v>
          </cell>
          <cell r="S156">
            <v>0.12701944285088157</v>
          </cell>
          <cell r="T156">
            <v>0.12731647060622517</v>
          </cell>
          <cell r="U156">
            <v>0.12760739392583836</v>
          </cell>
          <cell r="V156">
            <v>0.12789233826638771</v>
          </cell>
          <cell r="W156">
            <v>0.12817142650619073</v>
          </cell>
          <cell r="X156">
            <v>0.12844477899820556</v>
          </cell>
          <cell r="Y156">
            <v>0.12871251362193131</v>
          </cell>
        </row>
        <row r="157">
          <cell r="N157">
            <v>8.5514936742799447E-2</v>
          </cell>
          <cell r="O157">
            <v>8.6649168413206343E-2</v>
          </cell>
          <cell r="P157">
            <v>8.71807380244604E-2</v>
          </cell>
          <cell r="Q157">
            <v>8.7399308206843954E-2</v>
          </cell>
          <cell r="R157">
            <v>8.7613386392927983E-2</v>
          </cell>
          <cell r="S157">
            <v>8.7823064900968209E-2</v>
          </cell>
          <cell r="T157">
            <v>8.8028434151922616E-2</v>
          </cell>
          <cell r="U157">
            <v>8.8229582708443888E-2</v>
          </cell>
          <cell r="V157">
            <v>8.8426597313071051E-2</v>
          </cell>
          <cell r="W157">
            <v>8.8619562925635526E-2</v>
          </cell>
          <cell r="X157">
            <v>8.8808562759899026E-2</v>
          </cell>
          <cell r="Y157">
            <v>8.8993678319438274E-2</v>
          </cell>
        </row>
        <row r="158">
          <cell r="N158">
            <v>1.325189931728126E-2</v>
          </cell>
          <cell r="O158">
            <v>1.3427666551301572E-2</v>
          </cell>
          <cell r="P158">
            <v>1.3510041715650369E-2</v>
          </cell>
          <cell r="Q158">
            <v>1.3543912641140477E-2</v>
          </cell>
          <cell r="R158">
            <v>1.3577087460371699E-2</v>
          </cell>
          <cell r="S158">
            <v>1.3609580479525816E-2</v>
          </cell>
          <cell r="T158">
            <v>1.364140571076815E-2</v>
          </cell>
          <cell r="U158">
            <v>1.3672576878290071E-2</v>
          </cell>
          <cell r="V158">
            <v>1.3703107424227394E-2</v>
          </cell>
          <cell r="W158">
            <v>1.3733010514457033E-2</v>
          </cell>
          <cell r="X158">
            <v>1.3762299044274647E-2</v>
          </cell>
          <cell r="Y158">
            <v>1.3790985643955525E-2</v>
          </cell>
        </row>
        <row r="171">
          <cell r="Q171">
            <v>0.1135410615236727</v>
          </cell>
          <cell r="R171">
            <v>0.11354106152367273</v>
          </cell>
          <cell r="S171">
            <v>0.1135410615236727</v>
          </cell>
          <cell r="T171">
            <v>0.11354106152367273</v>
          </cell>
          <cell r="U171">
            <v>0.11354106152367274</v>
          </cell>
          <cell r="V171">
            <v>0.11354106152367273</v>
          </cell>
          <cell r="W171">
            <v>0.11354106152367271</v>
          </cell>
          <cell r="X171">
            <v>0.11354106152367271</v>
          </cell>
          <cell r="Y171">
            <v>0.11354106152367271</v>
          </cell>
        </row>
        <row r="172">
          <cell r="Q172">
            <v>0.21876462759112003</v>
          </cell>
          <cell r="R172">
            <v>0.21876462759112009</v>
          </cell>
          <cell r="S172">
            <v>0.21876462759112006</v>
          </cell>
          <cell r="T172">
            <v>0.21876462759112006</v>
          </cell>
          <cell r="U172">
            <v>0.21876462759112006</v>
          </cell>
          <cell r="V172">
            <v>0.21876462759112006</v>
          </cell>
          <cell r="W172">
            <v>0.21876462759112003</v>
          </cell>
          <cell r="X172">
            <v>0.21876462759112003</v>
          </cell>
          <cell r="Y172">
            <v>0.21876462759112009</v>
          </cell>
        </row>
        <row r="173">
          <cell r="Q173">
            <v>0.22370239116436252</v>
          </cell>
          <cell r="R173">
            <v>0.22370239116436255</v>
          </cell>
          <cell r="S173">
            <v>0.22370239116436252</v>
          </cell>
          <cell r="T173">
            <v>0.22370239116436252</v>
          </cell>
          <cell r="U173">
            <v>0.2237023911643625</v>
          </cell>
          <cell r="V173">
            <v>0.22370239116436252</v>
          </cell>
          <cell r="W173">
            <v>0.22370239116436247</v>
          </cell>
          <cell r="X173">
            <v>0.22370239116436252</v>
          </cell>
          <cell r="Y173">
            <v>0.22370239116436252</v>
          </cell>
        </row>
        <row r="174">
          <cell r="Q174">
            <v>8.4952556826572628E-2</v>
          </cell>
          <cell r="R174">
            <v>8.4952556826572656E-2</v>
          </cell>
          <cell r="S174">
            <v>8.4952556826572642E-2</v>
          </cell>
          <cell r="T174">
            <v>8.4952556826572642E-2</v>
          </cell>
          <cell r="U174">
            <v>8.4952556826572614E-2</v>
          </cell>
          <cell r="V174">
            <v>8.4952556826572628E-2</v>
          </cell>
          <cell r="W174">
            <v>8.4952556826572614E-2</v>
          </cell>
          <cell r="X174">
            <v>8.4952556826572614E-2</v>
          </cell>
          <cell r="Y174">
            <v>8.4952556826572628E-2</v>
          </cell>
        </row>
      </sheetData>
      <sheetData sheetId="15" refreshError="1"/>
      <sheetData sheetId="16" refreshError="1">
        <row r="33">
          <cell r="N33">
            <v>17080721</v>
          </cell>
          <cell r="O33">
            <v>18564843.825388256</v>
          </cell>
          <cell r="P33">
            <v>19742781.74031195</v>
          </cell>
        </row>
        <row r="34">
          <cell r="N34">
            <v>5014035</v>
          </cell>
          <cell r="O34">
            <v>1400000</v>
          </cell>
          <cell r="P34">
            <v>1442200</v>
          </cell>
        </row>
        <row r="35">
          <cell r="N35">
            <v>1271205</v>
          </cell>
          <cell r="O35">
            <v>1491534.04</v>
          </cell>
          <cell r="P35">
            <v>1380044</v>
          </cell>
        </row>
        <row r="36">
          <cell r="N36">
            <v>7914852</v>
          </cell>
          <cell r="O36">
            <v>8914913.5284689609</v>
          </cell>
          <cell r="P36">
            <v>9860650.4487230275</v>
          </cell>
        </row>
        <row r="37">
          <cell r="N37">
            <v>2024449.0016064791</v>
          </cell>
          <cell r="O37">
            <v>1985922.0685999999</v>
          </cell>
          <cell r="P37">
            <v>3483987.2014580006</v>
          </cell>
        </row>
        <row r="38">
          <cell r="N38">
            <v>2066825</v>
          </cell>
          <cell r="O38">
            <v>2310023.96</v>
          </cell>
          <cell r="P38">
            <v>2603655.96</v>
          </cell>
        </row>
        <row r="39">
          <cell r="N39">
            <v>2945147.7925</v>
          </cell>
          <cell r="O39">
            <v>3718328.04</v>
          </cell>
          <cell r="P39">
            <v>4015311.9200000004</v>
          </cell>
        </row>
        <row r="40">
          <cell r="N40">
            <v>1225500</v>
          </cell>
          <cell r="O40">
            <v>1350000</v>
          </cell>
          <cell r="P40">
            <v>1417500</v>
          </cell>
        </row>
        <row r="41">
          <cell r="N41">
            <v>4187424.92</v>
          </cell>
          <cell r="O41">
            <v>3719208.12</v>
          </cell>
          <cell r="P41">
            <v>3233987.32</v>
          </cell>
        </row>
        <row r="42">
          <cell r="N42">
            <v>577037</v>
          </cell>
          <cell r="O42">
            <v>561347</v>
          </cell>
          <cell r="P42">
            <v>593862</v>
          </cell>
        </row>
      </sheetData>
      <sheetData sheetId="17" refreshError="1"/>
      <sheetData sheetId="18" refreshError="1">
        <row r="34">
          <cell r="D34" t="str">
            <v>Land</v>
          </cell>
          <cell r="E34" t="str">
            <v>Airfield</v>
          </cell>
        </row>
        <row r="35">
          <cell r="D35" t="str">
            <v>Land</v>
          </cell>
          <cell r="E35" t="str">
            <v>Airfield</v>
          </cell>
        </row>
        <row r="36">
          <cell r="D36" t="str">
            <v>Land</v>
          </cell>
          <cell r="E36" t="str">
            <v>Airfield</v>
          </cell>
        </row>
        <row r="37">
          <cell r="D37" t="str">
            <v>Land</v>
          </cell>
          <cell r="E37" t="str">
            <v>Airfield</v>
          </cell>
        </row>
        <row r="38">
          <cell r="D38" t="str">
            <v>Land</v>
          </cell>
          <cell r="E38" t="str">
            <v>Airfield</v>
          </cell>
        </row>
        <row r="39">
          <cell r="D39" t="str">
            <v>Land</v>
          </cell>
          <cell r="E39" t="str">
            <v>Airfield</v>
          </cell>
        </row>
        <row r="43">
          <cell r="D43" t="str">
            <v>Buildings</v>
          </cell>
          <cell r="E43" t="str">
            <v>Airfield</v>
          </cell>
        </row>
        <row r="44">
          <cell r="D44" t="str">
            <v>Buildings</v>
          </cell>
          <cell r="E44" t="str">
            <v>Airfield</v>
          </cell>
        </row>
        <row r="45">
          <cell r="D45" t="str">
            <v>Buildings</v>
          </cell>
          <cell r="E45" t="str">
            <v>Airfield</v>
          </cell>
        </row>
        <row r="46">
          <cell r="D46" t="str">
            <v>Buildings</v>
          </cell>
          <cell r="E46" t="str">
            <v>Airfield</v>
          </cell>
        </row>
        <row r="47">
          <cell r="D47" t="str">
            <v>Buildings</v>
          </cell>
          <cell r="E47" t="str">
            <v>Airfield</v>
          </cell>
        </row>
        <row r="48">
          <cell r="D48" t="str">
            <v>Buildings</v>
          </cell>
          <cell r="E48" t="str">
            <v>Airfield</v>
          </cell>
        </row>
        <row r="52">
          <cell r="D52" t="str">
            <v>Computers &amp; Furniture</v>
          </cell>
          <cell r="E52" t="str">
            <v>Airfield</v>
          </cell>
        </row>
        <row r="53">
          <cell r="D53" t="str">
            <v>Computers &amp; Furniture</v>
          </cell>
          <cell r="E53" t="str">
            <v>Airfield</v>
          </cell>
        </row>
        <row r="54">
          <cell r="D54" t="str">
            <v>Computers &amp; Furniture</v>
          </cell>
          <cell r="E54" t="str">
            <v>Airfield</v>
          </cell>
        </row>
        <row r="55">
          <cell r="D55" t="str">
            <v>Computers &amp; Furniture</v>
          </cell>
          <cell r="E55" t="str">
            <v>Airfield</v>
          </cell>
        </row>
        <row r="56">
          <cell r="D56" t="str">
            <v>Computers &amp; Furniture</v>
          </cell>
          <cell r="E56" t="str">
            <v>Airfield</v>
          </cell>
        </row>
        <row r="57">
          <cell r="D57" t="str">
            <v>Computers &amp; Furniture</v>
          </cell>
          <cell r="E57" t="str">
            <v>Airfield</v>
          </cell>
        </row>
        <row r="61">
          <cell r="D61" t="str">
            <v>Motor vehicles</v>
          </cell>
          <cell r="E61" t="str">
            <v>Airfield</v>
          </cell>
        </row>
        <row r="62">
          <cell r="D62" t="str">
            <v>Motor vehicles</v>
          </cell>
          <cell r="E62" t="str">
            <v>Airfield</v>
          </cell>
        </row>
        <row r="63">
          <cell r="D63" t="str">
            <v>Motor vehicles</v>
          </cell>
          <cell r="E63" t="str">
            <v>Airfield</v>
          </cell>
        </row>
        <row r="64">
          <cell r="D64" t="str">
            <v>Motor vehicles</v>
          </cell>
          <cell r="E64" t="str">
            <v>Airfield</v>
          </cell>
        </row>
        <row r="65">
          <cell r="D65" t="str">
            <v>Motor vehicles</v>
          </cell>
          <cell r="E65" t="str">
            <v>Airfield</v>
          </cell>
        </row>
        <row r="66">
          <cell r="D66" t="str">
            <v>Motor vehicles</v>
          </cell>
          <cell r="E66" t="str">
            <v>Airfield</v>
          </cell>
        </row>
        <row r="70">
          <cell r="D70" t="str">
            <v>Plant &amp; equipment</v>
          </cell>
          <cell r="E70" t="str">
            <v>Airfield</v>
          </cell>
        </row>
        <row r="71">
          <cell r="D71" t="str">
            <v>Plant &amp; equipment</v>
          </cell>
          <cell r="E71" t="str">
            <v>Airfield</v>
          </cell>
        </row>
        <row r="72">
          <cell r="D72" t="str">
            <v>Plant &amp; equipment</v>
          </cell>
          <cell r="E72" t="str">
            <v>Airfield</v>
          </cell>
        </row>
        <row r="73">
          <cell r="D73" t="str">
            <v>Plant &amp; equipment</v>
          </cell>
          <cell r="E73" t="str">
            <v>Airfield</v>
          </cell>
        </row>
        <row r="74">
          <cell r="D74" t="str">
            <v>Plant &amp; equipment</v>
          </cell>
          <cell r="E74" t="str">
            <v>Airfield</v>
          </cell>
        </row>
        <row r="75">
          <cell r="D75" t="str">
            <v>Plant &amp; equipment</v>
          </cell>
          <cell r="E75" t="str">
            <v>Airfield</v>
          </cell>
        </row>
        <row r="79">
          <cell r="D79" t="str">
            <v>Airfield Runway Apron Taxi</v>
          </cell>
          <cell r="E79" t="str">
            <v>Airfield</v>
          </cell>
        </row>
        <row r="80">
          <cell r="D80" t="str">
            <v>Airfield Runway Apron Taxi</v>
          </cell>
          <cell r="E80" t="str">
            <v>Airfield</v>
          </cell>
        </row>
        <row r="81">
          <cell r="D81" t="str">
            <v>Airfield Runway Apron Taxi</v>
          </cell>
          <cell r="E81" t="str">
            <v>Airfield</v>
          </cell>
        </row>
        <row r="82">
          <cell r="D82" t="str">
            <v>Airfield Runway Apron Taxi</v>
          </cell>
          <cell r="E82" t="str">
            <v>Airfield</v>
          </cell>
        </row>
        <row r="83">
          <cell r="D83" t="str">
            <v>Airfield Runway Apron Taxi</v>
          </cell>
          <cell r="E83" t="str">
            <v>Airfield</v>
          </cell>
        </row>
        <row r="84">
          <cell r="D84" t="str">
            <v>Airfield Runway Apron Taxi</v>
          </cell>
          <cell r="E84" t="str">
            <v>Airfield</v>
          </cell>
        </row>
        <row r="88">
          <cell r="D88" t="str">
            <v>Infrastructure</v>
          </cell>
          <cell r="E88" t="str">
            <v>Airfield</v>
          </cell>
        </row>
        <row r="89">
          <cell r="D89" t="str">
            <v>Infrastructure</v>
          </cell>
          <cell r="E89" t="str">
            <v>Airfield</v>
          </cell>
        </row>
        <row r="90">
          <cell r="D90" t="str">
            <v>Infrastructure</v>
          </cell>
          <cell r="E90" t="str">
            <v>Airfield</v>
          </cell>
        </row>
        <row r="91">
          <cell r="D91" t="str">
            <v>Infrastructure</v>
          </cell>
          <cell r="E91" t="str">
            <v>Airfield</v>
          </cell>
        </row>
        <row r="92">
          <cell r="D92" t="str">
            <v>Infrastructure</v>
          </cell>
          <cell r="E92" t="str">
            <v>Airfield</v>
          </cell>
        </row>
        <row r="93">
          <cell r="D93" t="str">
            <v>Infrastructure</v>
          </cell>
          <cell r="E93" t="str">
            <v>Airfield</v>
          </cell>
        </row>
        <row r="97">
          <cell r="D97" t="str">
            <v>Terminal facilities</v>
          </cell>
          <cell r="E97" t="str">
            <v>Airfield</v>
          </cell>
        </row>
        <row r="98">
          <cell r="D98" t="str">
            <v>Terminal facilities</v>
          </cell>
          <cell r="E98" t="str">
            <v>Airfield</v>
          </cell>
        </row>
        <row r="99">
          <cell r="D99" t="str">
            <v>Terminal facilities</v>
          </cell>
          <cell r="E99" t="str">
            <v>Airfield</v>
          </cell>
        </row>
        <row r="100">
          <cell r="D100" t="str">
            <v>Terminal facilities</v>
          </cell>
          <cell r="E100" t="str">
            <v>Airfield</v>
          </cell>
        </row>
        <row r="101">
          <cell r="D101" t="str">
            <v>Terminal facilities</v>
          </cell>
          <cell r="E101" t="str">
            <v>Airfield</v>
          </cell>
        </row>
        <row r="102">
          <cell r="D102" t="str">
            <v>Terminal facilities</v>
          </cell>
          <cell r="E102" t="str">
            <v>Airfield</v>
          </cell>
        </row>
        <row r="106">
          <cell r="D106" t="str">
            <v>Car parking</v>
          </cell>
          <cell r="E106" t="str">
            <v>Airfield</v>
          </cell>
        </row>
        <row r="107">
          <cell r="D107" t="str">
            <v>Car parking</v>
          </cell>
          <cell r="E107" t="str">
            <v>Airfield</v>
          </cell>
        </row>
        <row r="108">
          <cell r="D108" t="str">
            <v>Car parking</v>
          </cell>
          <cell r="E108" t="str">
            <v>Airfield</v>
          </cell>
        </row>
        <row r="109">
          <cell r="D109" t="str">
            <v>Car parking</v>
          </cell>
          <cell r="E109" t="str">
            <v>Airfield</v>
          </cell>
        </row>
        <row r="110">
          <cell r="D110" t="str">
            <v>Car parking</v>
          </cell>
          <cell r="E110" t="str">
            <v>Airfield</v>
          </cell>
        </row>
        <row r="111">
          <cell r="D111" t="str">
            <v>Car parking</v>
          </cell>
          <cell r="E111" t="str">
            <v>Airfield</v>
          </cell>
        </row>
        <row r="115">
          <cell r="D115" t="str">
            <v>Software</v>
          </cell>
          <cell r="E115" t="str">
            <v>Airfield</v>
          </cell>
        </row>
        <row r="116">
          <cell r="D116" t="str">
            <v>Software</v>
          </cell>
          <cell r="E116" t="str">
            <v>Airfield</v>
          </cell>
        </row>
        <row r="117">
          <cell r="D117" t="str">
            <v>Software</v>
          </cell>
          <cell r="E117" t="str">
            <v>Airfield</v>
          </cell>
        </row>
        <row r="118">
          <cell r="D118" t="str">
            <v>Software</v>
          </cell>
          <cell r="E118" t="str">
            <v>Airfield</v>
          </cell>
        </row>
        <row r="119">
          <cell r="D119" t="str">
            <v>Software</v>
          </cell>
          <cell r="E119" t="str">
            <v>Airfield</v>
          </cell>
        </row>
        <row r="120">
          <cell r="D120" t="str">
            <v>Software</v>
          </cell>
          <cell r="E120" t="str">
            <v>Airfield</v>
          </cell>
        </row>
        <row r="124">
          <cell r="D124" t="str">
            <v>[Blank FA 1]</v>
          </cell>
          <cell r="E124" t="str">
            <v>Airfield</v>
          </cell>
        </row>
        <row r="125">
          <cell r="D125" t="str">
            <v>[Blank FA 1]</v>
          </cell>
          <cell r="E125" t="str">
            <v>Airfield</v>
          </cell>
        </row>
        <row r="126">
          <cell r="D126" t="str">
            <v>[Blank FA 1]</v>
          </cell>
          <cell r="E126" t="str">
            <v>Airfield</v>
          </cell>
        </row>
        <row r="127">
          <cell r="D127" t="str">
            <v>[Blank FA 1]</v>
          </cell>
          <cell r="E127" t="str">
            <v>Airfield</v>
          </cell>
        </row>
        <row r="128">
          <cell r="D128" t="str">
            <v>[Blank FA 1]</v>
          </cell>
          <cell r="E128" t="str">
            <v>Airfield</v>
          </cell>
        </row>
        <row r="129">
          <cell r="D129" t="str">
            <v>[Blank FA 1]</v>
          </cell>
          <cell r="E129" t="str">
            <v>Airfield</v>
          </cell>
        </row>
        <row r="133">
          <cell r="D133" t="str">
            <v>[Blank FA 2]</v>
          </cell>
          <cell r="E133" t="str">
            <v>Airfield</v>
          </cell>
        </row>
        <row r="134">
          <cell r="D134" t="str">
            <v>[Blank FA 2]</v>
          </cell>
          <cell r="E134" t="str">
            <v>Airfield</v>
          </cell>
        </row>
        <row r="135">
          <cell r="D135" t="str">
            <v>[Blank FA 2]</v>
          </cell>
          <cell r="E135" t="str">
            <v>Airfield</v>
          </cell>
        </row>
        <row r="136">
          <cell r="D136" t="str">
            <v>[Blank FA 2]</v>
          </cell>
          <cell r="E136" t="str">
            <v>Airfield</v>
          </cell>
        </row>
        <row r="137">
          <cell r="D137" t="str">
            <v>[Blank FA 2]</v>
          </cell>
          <cell r="E137" t="str">
            <v>Airfield</v>
          </cell>
        </row>
        <row r="138">
          <cell r="D138" t="str">
            <v>[Blank FA 2]</v>
          </cell>
          <cell r="E138" t="str">
            <v>Airfield</v>
          </cell>
        </row>
        <row r="142">
          <cell r="D142" t="str">
            <v>[Blank FA 3]</v>
          </cell>
          <cell r="E142" t="str">
            <v>Airfield</v>
          </cell>
        </row>
        <row r="143">
          <cell r="D143" t="str">
            <v>[Blank FA 3]</v>
          </cell>
          <cell r="E143" t="str">
            <v>Airfield</v>
          </cell>
        </row>
        <row r="144">
          <cell r="D144" t="str">
            <v>[Blank FA 3]</v>
          </cell>
          <cell r="E144" t="str">
            <v>Airfield</v>
          </cell>
        </row>
        <row r="145">
          <cell r="D145" t="str">
            <v>[Blank FA 3]</v>
          </cell>
          <cell r="E145" t="str">
            <v>Airfield</v>
          </cell>
        </row>
        <row r="146">
          <cell r="D146" t="str">
            <v>[Blank FA 3]</v>
          </cell>
          <cell r="E146" t="str">
            <v>Airfield</v>
          </cell>
        </row>
        <row r="147">
          <cell r="D147" t="str">
            <v>[Blank FA 3]</v>
          </cell>
          <cell r="E147" t="str">
            <v>Airfield</v>
          </cell>
        </row>
        <row r="156">
          <cell r="D156" t="str">
            <v>Land</v>
          </cell>
          <cell r="E156" t="str">
            <v>Airfield</v>
          </cell>
        </row>
        <row r="157">
          <cell r="D157" t="str">
            <v>Land</v>
          </cell>
          <cell r="E157" t="str">
            <v>Airfield</v>
          </cell>
        </row>
        <row r="158">
          <cell r="D158" t="str">
            <v>Land</v>
          </cell>
          <cell r="E158" t="str">
            <v>Airfield</v>
          </cell>
          <cell r="N158">
            <v>0</v>
          </cell>
        </row>
        <row r="159">
          <cell r="D159" t="str">
            <v>Land</v>
          </cell>
          <cell r="E159" t="str">
            <v>Airfield</v>
          </cell>
          <cell r="N159">
            <v>0</v>
          </cell>
        </row>
        <row r="160">
          <cell r="D160" t="str">
            <v>Land</v>
          </cell>
          <cell r="E160" t="str">
            <v>Airfield</v>
          </cell>
          <cell r="N160">
            <v>0</v>
          </cell>
        </row>
        <row r="161">
          <cell r="D161" t="str">
            <v>Land</v>
          </cell>
          <cell r="E161" t="str">
            <v>Airfield</v>
          </cell>
        </row>
        <row r="165">
          <cell r="D165" t="str">
            <v>Buildings</v>
          </cell>
          <cell r="E165" t="str">
            <v>Airfield</v>
          </cell>
        </row>
        <row r="166">
          <cell r="D166" t="str">
            <v>Buildings</v>
          </cell>
          <cell r="E166" t="str">
            <v>Airfield</v>
          </cell>
        </row>
        <row r="167">
          <cell r="D167" t="str">
            <v>Buildings</v>
          </cell>
          <cell r="E167" t="str">
            <v>Airfield</v>
          </cell>
        </row>
        <row r="168">
          <cell r="D168" t="str">
            <v>Buildings</v>
          </cell>
          <cell r="E168" t="str">
            <v>Airfield</v>
          </cell>
        </row>
        <row r="169">
          <cell r="D169" t="str">
            <v>Buildings</v>
          </cell>
          <cell r="E169" t="str">
            <v>Airfield</v>
          </cell>
          <cell r="L169">
            <v>0</v>
          </cell>
        </row>
        <row r="170">
          <cell r="D170" t="str">
            <v>Buildings</v>
          </cell>
          <cell r="E170" t="str">
            <v>Airfield</v>
          </cell>
        </row>
        <row r="174">
          <cell r="D174" t="str">
            <v>Computers &amp; Furniture</v>
          </cell>
          <cell r="E174" t="str">
            <v>Airfield</v>
          </cell>
        </row>
        <row r="175">
          <cell r="D175" t="str">
            <v>Computers &amp; Furniture</v>
          </cell>
          <cell r="E175" t="str">
            <v>Airfield</v>
          </cell>
        </row>
        <row r="176">
          <cell r="D176" t="str">
            <v>Computers &amp; Furniture</v>
          </cell>
          <cell r="E176" t="str">
            <v>Airfield</v>
          </cell>
        </row>
        <row r="177">
          <cell r="D177" t="str">
            <v>Computers &amp; Furniture</v>
          </cell>
          <cell r="E177" t="str">
            <v>Airfield</v>
          </cell>
        </row>
        <row r="178">
          <cell r="D178" t="str">
            <v>Computers &amp; Furniture</v>
          </cell>
          <cell r="E178" t="str">
            <v>Airfield</v>
          </cell>
        </row>
        <row r="179">
          <cell r="D179" t="str">
            <v>Computers &amp; Furniture</v>
          </cell>
          <cell r="E179" t="str">
            <v>Airfield</v>
          </cell>
        </row>
        <row r="183">
          <cell r="D183" t="str">
            <v>Motor vehicles</v>
          </cell>
          <cell r="E183" t="str">
            <v>Airfield</v>
          </cell>
        </row>
        <row r="184">
          <cell r="D184" t="str">
            <v>Motor vehicles</v>
          </cell>
          <cell r="E184" t="str">
            <v>Airfield</v>
          </cell>
        </row>
        <row r="185">
          <cell r="D185" t="str">
            <v>Motor vehicles</v>
          </cell>
          <cell r="E185" t="str">
            <v>Airfield</v>
          </cell>
        </row>
        <row r="186">
          <cell r="D186" t="str">
            <v>Motor vehicles</v>
          </cell>
          <cell r="E186" t="str">
            <v>Airfield</v>
          </cell>
        </row>
        <row r="187">
          <cell r="D187" t="str">
            <v>Motor vehicles</v>
          </cell>
          <cell r="E187" t="str">
            <v>Airfield</v>
          </cell>
        </row>
        <row r="188">
          <cell r="D188" t="str">
            <v>Motor vehicles</v>
          </cell>
          <cell r="E188" t="str">
            <v>Airfield</v>
          </cell>
        </row>
        <row r="192">
          <cell r="D192" t="str">
            <v>Plant &amp; equipment</v>
          </cell>
          <cell r="E192" t="str">
            <v>Airfield</v>
          </cell>
        </row>
        <row r="193">
          <cell r="D193" t="str">
            <v>Plant &amp; equipment</v>
          </cell>
          <cell r="E193" t="str">
            <v>Airfield</v>
          </cell>
        </row>
        <row r="194">
          <cell r="D194" t="str">
            <v>Plant &amp; equipment</v>
          </cell>
          <cell r="E194" t="str">
            <v>Airfield</v>
          </cell>
        </row>
        <row r="195">
          <cell r="D195" t="str">
            <v>Plant &amp; equipment</v>
          </cell>
          <cell r="E195" t="str">
            <v>Airfield</v>
          </cell>
        </row>
        <row r="196">
          <cell r="D196" t="str">
            <v>Plant &amp; equipment</v>
          </cell>
          <cell r="E196" t="str">
            <v>Airfield</v>
          </cell>
        </row>
        <row r="197">
          <cell r="D197" t="str">
            <v>Plant &amp; equipment</v>
          </cell>
          <cell r="E197" t="str">
            <v>Airfield</v>
          </cell>
        </row>
        <row r="201">
          <cell r="D201" t="str">
            <v>Airfield Runway Apron Taxi</v>
          </cell>
          <cell r="E201" t="str">
            <v>Airfield</v>
          </cell>
        </row>
        <row r="202">
          <cell r="D202" t="str">
            <v>Airfield Runway Apron Taxi</v>
          </cell>
          <cell r="E202" t="str">
            <v>Airfield</v>
          </cell>
        </row>
        <row r="203">
          <cell r="D203" t="str">
            <v>Airfield Runway Apron Taxi</v>
          </cell>
          <cell r="E203" t="str">
            <v>Airfield</v>
          </cell>
        </row>
        <row r="204">
          <cell r="D204" t="str">
            <v>Airfield Runway Apron Taxi</v>
          </cell>
          <cell r="E204" t="str">
            <v>Airfield</v>
          </cell>
        </row>
        <row r="205">
          <cell r="D205" t="str">
            <v>Airfield Runway Apron Taxi</v>
          </cell>
          <cell r="E205" t="str">
            <v>Airfield</v>
          </cell>
        </row>
        <row r="206">
          <cell r="D206" t="str">
            <v>Airfield Runway Apron Taxi</v>
          </cell>
          <cell r="E206" t="str">
            <v>Airfield</v>
          </cell>
        </row>
        <row r="210">
          <cell r="D210" t="str">
            <v>Infrastructure</v>
          </cell>
          <cell r="E210" t="str">
            <v>Airfield</v>
          </cell>
        </row>
        <row r="211">
          <cell r="D211" t="str">
            <v>Infrastructure</v>
          </cell>
          <cell r="E211" t="str">
            <v>Airfield</v>
          </cell>
        </row>
        <row r="212">
          <cell r="D212" t="str">
            <v>Infrastructure</v>
          </cell>
          <cell r="E212" t="str">
            <v>Airfield</v>
          </cell>
        </row>
        <row r="213">
          <cell r="D213" t="str">
            <v>Infrastructure</v>
          </cell>
          <cell r="E213" t="str">
            <v>Airfield</v>
          </cell>
        </row>
        <row r="214">
          <cell r="D214" t="str">
            <v>Infrastructure</v>
          </cell>
          <cell r="E214" t="str">
            <v>Airfield</v>
          </cell>
        </row>
        <row r="215">
          <cell r="D215" t="str">
            <v>Infrastructure</v>
          </cell>
          <cell r="E215" t="str">
            <v>Airfield</v>
          </cell>
        </row>
        <row r="219">
          <cell r="D219" t="str">
            <v>Terminal facilities</v>
          </cell>
          <cell r="E219" t="str">
            <v>Airfield</v>
          </cell>
          <cell r="N219">
            <v>0</v>
          </cell>
        </row>
        <row r="220">
          <cell r="D220" t="str">
            <v>Terminal facilities</v>
          </cell>
          <cell r="E220" t="str">
            <v>Airfield</v>
          </cell>
          <cell r="N220">
            <v>0</v>
          </cell>
        </row>
        <row r="221">
          <cell r="D221" t="str">
            <v>Terminal facilities</v>
          </cell>
          <cell r="E221" t="str">
            <v>Airfield</v>
          </cell>
        </row>
        <row r="222">
          <cell r="D222" t="str">
            <v>Terminal facilities</v>
          </cell>
          <cell r="E222" t="str">
            <v>Airfield</v>
          </cell>
        </row>
        <row r="223">
          <cell r="D223" t="str">
            <v>Terminal facilities</v>
          </cell>
          <cell r="E223" t="str">
            <v>Airfield</v>
          </cell>
        </row>
        <row r="224">
          <cell r="D224" t="str">
            <v>Terminal facilities</v>
          </cell>
          <cell r="E224" t="str">
            <v>Airfield</v>
          </cell>
        </row>
        <row r="228">
          <cell r="D228" t="str">
            <v>Car parking</v>
          </cell>
          <cell r="E228" t="str">
            <v>Airfield</v>
          </cell>
          <cell r="N228">
            <v>0</v>
          </cell>
        </row>
        <row r="229">
          <cell r="D229" t="str">
            <v>Car parking</v>
          </cell>
          <cell r="E229" t="str">
            <v>Airfield</v>
          </cell>
          <cell r="N229">
            <v>0</v>
          </cell>
        </row>
        <row r="230">
          <cell r="D230" t="str">
            <v>Car parking</v>
          </cell>
          <cell r="E230" t="str">
            <v>Airfield</v>
          </cell>
          <cell r="N230">
            <v>0</v>
          </cell>
        </row>
        <row r="231">
          <cell r="D231" t="str">
            <v>Car parking</v>
          </cell>
          <cell r="E231" t="str">
            <v>Airfield</v>
          </cell>
          <cell r="N231">
            <v>0</v>
          </cell>
        </row>
        <row r="232">
          <cell r="D232" t="str">
            <v>Car parking</v>
          </cell>
          <cell r="E232" t="str">
            <v>Airfield</v>
          </cell>
          <cell r="N232">
            <v>0</v>
          </cell>
        </row>
        <row r="233">
          <cell r="D233" t="str">
            <v>Car parking</v>
          </cell>
          <cell r="E233" t="str">
            <v>Airfield</v>
          </cell>
        </row>
        <row r="237">
          <cell r="D237" t="str">
            <v>Software</v>
          </cell>
          <cell r="E237" t="str">
            <v>Airfield</v>
          </cell>
        </row>
        <row r="238">
          <cell r="D238" t="str">
            <v>Software</v>
          </cell>
          <cell r="E238" t="str">
            <v>Airfield</v>
          </cell>
        </row>
        <row r="239">
          <cell r="D239" t="str">
            <v>Software</v>
          </cell>
          <cell r="E239" t="str">
            <v>Airfield</v>
          </cell>
        </row>
        <row r="240">
          <cell r="D240" t="str">
            <v>Software</v>
          </cell>
          <cell r="E240" t="str">
            <v>Airfield</v>
          </cell>
        </row>
        <row r="241">
          <cell r="D241" t="str">
            <v>Software</v>
          </cell>
          <cell r="E241" t="str">
            <v>Airfield</v>
          </cell>
        </row>
        <row r="242">
          <cell r="D242" t="str">
            <v>Software</v>
          </cell>
          <cell r="E242" t="str">
            <v>Airfield</v>
          </cell>
        </row>
        <row r="246">
          <cell r="D246" t="str">
            <v>[Blank FA 1]</v>
          </cell>
          <cell r="E246" t="str">
            <v>Airfield</v>
          </cell>
        </row>
        <row r="247">
          <cell r="D247" t="str">
            <v>[Blank FA 1]</v>
          </cell>
          <cell r="E247" t="str">
            <v>Airfield</v>
          </cell>
        </row>
        <row r="248">
          <cell r="D248" t="str">
            <v>[Blank FA 1]</v>
          </cell>
          <cell r="E248" t="str">
            <v>Airfield</v>
          </cell>
        </row>
        <row r="249">
          <cell r="D249" t="str">
            <v>[Blank FA 1]</v>
          </cell>
          <cell r="E249" t="str">
            <v>Airfield</v>
          </cell>
        </row>
        <row r="250">
          <cell r="D250" t="str">
            <v>[Blank FA 1]</v>
          </cell>
          <cell r="E250" t="str">
            <v>Airfield</v>
          </cell>
        </row>
        <row r="251">
          <cell r="D251" t="str">
            <v>[Blank FA 1]</v>
          </cell>
          <cell r="E251" t="str">
            <v>Airfield</v>
          </cell>
        </row>
        <row r="255">
          <cell r="D255" t="str">
            <v>[Blank FA 2]</v>
          </cell>
          <cell r="E255" t="str">
            <v>Airfield</v>
          </cell>
        </row>
        <row r="256">
          <cell r="D256" t="str">
            <v>[Blank FA 2]</v>
          </cell>
          <cell r="E256" t="str">
            <v>Airfield</v>
          </cell>
        </row>
        <row r="257">
          <cell r="D257" t="str">
            <v>[Blank FA 2]</v>
          </cell>
          <cell r="E257" t="str">
            <v>Airfield</v>
          </cell>
        </row>
        <row r="258">
          <cell r="D258" t="str">
            <v>[Blank FA 2]</v>
          </cell>
          <cell r="E258" t="str">
            <v>Airfield</v>
          </cell>
        </row>
        <row r="259">
          <cell r="D259" t="str">
            <v>[Blank FA 2]</v>
          </cell>
          <cell r="E259" t="str">
            <v>Airfield</v>
          </cell>
        </row>
        <row r="260">
          <cell r="D260" t="str">
            <v>[Blank FA 2]</v>
          </cell>
          <cell r="E260" t="str">
            <v>Airfield</v>
          </cell>
        </row>
        <row r="264">
          <cell r="D264" t="str">
            <v>[Blank FA 3]</v>
          </cell>
          <cell r="E264" t="str">
            <v>Airfield</v>
          </cell>
        </row>
        <row r="265">
          <cell r="D265" t="str">
            <v>[Blank FA 3]</v>
          </cell>
          <cell r="E265" t="str">
            <v>Airfield</v>
          </cell>
        </row>
        <row r="266">
          <cell r="D266" t="str">
            <v>[Blank FA 3]</v>
          </cell>
          <cell r="E266" t="str">
            <v>Airfield</v>
          </cell>
        </row>
        <row r="267">
          <cell r="D267" t="str">
            <v>[Blank FA 3]</v>
          </cell>
          <cell r="E267" t="str">
            <v>Airfield</v>
          </cell>
        </row>
        <row r="268">
          <cell r="D268" t="str">
            <v>[Blank FA 3]</v>
          </cell>
          <cell r="E268" t="str">
            <v>Airfield</v>
          </cell>
        </row>
        <row r="269">
          <cell r="D269" t="str">
            <v>[Blank FA 3]</v>
          </cell>
          <cell r="E269" t="str">
            <v>Airfield</v>
          </cell>
        </row>
        <row r="278">
          <cell r="D278" t="str">
            <v>Land</v>
          </cell>
          <cell r="E278" t="str">
            <v>Terminal International</v>
          </cell>
        </row>
        <row r="279">
          <cell r="D279" t="str">
            <v>Land</v>
          </cell>
          <cell r="E279" t="str">
            <v>Terminal International</v>
          </cell>
        </row>
        <row r="280">
          <cell r="D280" t="str">
            <v>Land</v>
          </cell>
          <cell r="E280" t="str">
            <v>Terminal International</v>
          </cell>
        </row>
        <row r="281">
          <cell r="D281" t="str">
            <v>Land</v>
          </cell>
          <cell r="E281" t="str">
            <v>Terminal International</v>
          </cell>
        </row>
        <row r="282">
          <cell r="D282" t="str">
            <v>Land</v>
          </cell>
          <cell r="E282" t="str">
            <v>Terminal International</v>
          </cell>
        </row>
        <row r="283">
          <cell r="D283" t="str">
            <v>Land</v>
          </cell>
          <cell r="E283" t="str">
            <v>Terminal International</v>
          </cell>
        </row>
        <row r="287">
          <cell r="D287" t="str">
            <v>Buildings</v>
          </cell>
          <cell r="E287" t="str">
            <v>Terminal International</v>
          </cell>
        </row>
        <row r="288">
          <cell r="D288" t="str">
            <v>Buildings</v>
          </cell>
          <cell r="E288" t="str">
            <v>Terminal International</v>
          </cell>
        </row>
        <row r="289">
          <cell r="D289" t="str">
            <v>Buildings</v>
          </cell>
          <cell r="E289" t="str">
            <v>Terminal International</v>
          </cell>
        </row>
        <row r="290">
          <cell r="D290" t="str">
            <v>Buildings</v>
          </cell>
          <cell r="E290" t="str">
            <v>Terminal International</v>
          </cell>
        </row>
        <row r="291">
          <cell r="D291" t="str">
            <v>Buildings</v>
          </cell>
          <cell r="E291" t="str">
            <v>Terminal International</v>
          </cell>
        </row>
        <row r="292">
          <cell r="D292" t="str">
            <v>Buildings</v>
          </cell>
          <cell r="E292" t="str">
            <v>Terminal International</v>
          </cell>
        </row>
        <row r="296">
          <cell r="D296" t="str">
            <v>Computers &amp; Furniture</v>
          </cell>
          <cell r="E296" t="str">
            <v>Terminal International</v>
          </cell>
        </row>
        <row r="297">
          <cell r="D297" t="str">
            <v>Computers &amp; Furniture</v>
          </cell>
          <cell r="E297" t="str">
            <v>Terminal International</v>
          </cell>
        </row>
        <row r="298">
          <cell r="D298" t="str">
            <v>Computers &amp; Furniture</v>
          </cell>
          <cell r="E298" t="str">
            <v>Terminal International</v>
          </cell>
        </row>
        <row r="299">
          <cell r="D299" t="str">
            <v>Computers &amp; Furniture</v>
          </cell>
          <cell r="E299" t="str">
            <v>Terminal International</v>
          </cell>
        </row>
        <row r="300">
          <cell r="D300" t="str">
            <v>Computers &amp; Furniture</v>
          </cell>
          <cell r="E300" t="str">
            <v>Terminal International</v>
          </cell>
        </row>
        <row r="301">
          <cell r="D301" t="str">
            <v>Computers &amp; Furniture</v>
          </cell>
          <cell r="E301" t="str">
            <v>Terminal International</v>
          </cell>
        </row>
        <row r="305">
          <cell r="D305" t="str">
            <v>Motor vehicles</v>
          </cell>
          <cell r="E305" t="str">
            <v>Terminal International</v>
          </cell>
        </row>
        <row r="306">
          <cell r="D306" t="str">
            <v>Motor vehicles</v>
          </cell>
          <cell r="E306" t="str">
            <v>Terminal International</v>
          </cell>
        </row>
        <row r="307">
          <cell r="D307" t="str">
            <v>Motor vehicles</v>
          </cell>
          <cell r="E307" t="str">
            <v>Terminal International</v>
          </cell>
        </row>
        <row r="308">
          <cell r="D308" t="str">
            <v>Motor vehicles</v>
          </cell>
          <cell r="E308" t="str">
            <v>Terminal International</v>
          </cell>
        </row>
        <row r="309">
          <cell r="D309" t="str">
            <v>Motor vehicles</v>
          </cell>
          <cell r="E309" t="str">
            <v>Terminal International</v>
          </cell>
        </row>
        <row r="310">
          <cell r="D310" t="str">
            <v>Motor vehicles</v>
          </cell>
          <cell r="E310" t="str">
            <v>Terminal International</v>
          </cell>
        </row>
        <row r="314">
          <cell r="D314" t="str">
            <v>Plant &amp; equipment</v>
          </cell>
          <cell r="E314" t="str">
            <v>Terminal International</v>
          </cell>
        </row>
        <row r="315">
          <cell r="D315" t="str">
            <v>Plant &amp; equipment</v>
          </cell>
          <cell r="E315" t="str">
            <v>Terminal International</v>
          </cell>
        </row>
        <row r="316">
          <cell r="D316" t="str">
            <v>Plant &amp; equipment</v>
          </cell>
          <cell r="E316" t="str">
            <v>Terminal International</v>
          </cell>
        </row>
        <row r="317">
          <cell r="D317" t="str">
            <v>Plant &amp; equipment</v>
          </cell>
          <cell r="E317" t="str">
            <v>Terminal International</v>
          </cell>
        </row>
        <row r="318">
          <cell r="D318" t="str">
            <v>Plant &amp; equipment</v>
          </cell>
          <cell r="E318" t="str">
            <v>Terminal International</v>
          </cell>
        </row>
        <row r="319">
          <cell r="D319" t="str">
            <v>Plant &amp; equipment</v>
          </cell>
          <cell r="E319" t="str">
            <v>Terminal International</v>
          </cell>
        </row>
        <row r="323">
          <cell r="D323" t="str">
            <v>Airfield Runway Apron Taxi</v>
          </cell>
          <cell r="E323" t="str">
            <v>Terminal International</v>
          </cell>
        </row>
        <row r="324">
          <cell r="D324" t="str">
            <v>Airfield Runway Apron Taxi</v>
          </cell>
          <cell r="E324" t="str">
            <v>Terminal International</v>
          </cell>
        </row>
        <row r="325">
          <cell r="D325" t="str">
            <v>Airfield Runway Apron Taxi</v>
          </cell>
          <cell r="E325" t="str">
            <v>Terminal International</v>
          </cell>
        </row>
        <row r="326">
          <cell r="D326" t="str">
            <v>Airfield Runway Apron Taxi</v>
          </cell>
          <cell r="E326" t="str">
            <v>Terminal International</v>
          </cell>
        </row>
        <row r="327">
          <cell r="D327" t="str">
            <v>Airfield Runway Apron Taxi</v>
          </cell>
          <cell r="E327" t="str">
            <v>Terminal International</v>
          </cell>
        </row>
        <row r="328">
          <cell r="D328" t="str">
            <v>Airfield Runway Apron Taxi</v>
          </cell>
          <cell r="E328" t="str">
            <v>Terminal International</v>
          </cell>
        </row>
        <row r="332">
          <cell r="D332" t="str">
            <v>Infrastructure</v>
          </cell>
          <cell r="E332" t="str">
            <v>Terminal International</v>
          </cell>
        </row>
        <row r="333">
          <cell r="D333" t="str">
            <v>Infrastructure</v>
          </cell>
          <cell r="E333" t="str">
            <v>Terminal International</v>
          </cell>
        </row>
        <row r="334">
          <cell r="D334" t="str">
            <v>Infrastructure</v>
          </cell>
          <cell r="E334" t="str">
            <v>Terminal International</v>
          </cell>
        </row>
        <row r="335">
          <cell r="D335" t="str">
            <v>Infrastructure</v>
          </cell>
          <cell r="E335" t="str">
            <v>Terminal International</v>
          </cell>
        </row>
        <row r="336">
          <cell r="D336" t="str">
            <v>Infrastructure</v>
          </cell>
          <cell r="E336" t="str">
            <v>Terminal International</v>
          </cell>
        </row>
        <row r="337">
          <cell r="D337" t="str">
            <v>Infrastructure</v>
          </cell>
          <cell r="E337" t="str">
            <v>Terminal International</v>
          </cell>
        </row>
        <row r="341">
          <cell r="D341" t="str">
            <v>Terminal facilities</v>
          </cell>
          <cell r="E341" t="str">
            <v>Terminal International</v>
          </cell>
        </row>
        <row r="342">
          <cell r="D342" t="str">
            <v>Terminal facilities</v>
          </cell>
          <cell r="E342" t="str">
            <v>Terminal International</v>
          </cell>
        </row>
        <row r="343">
          <cell r="D343" t="str">
            <v>Terminal facilities</v>
          </cell>
          <cell r="E343" t="str">
            <v>Terminal International</v>
          </cell>
        </row>
        <row r="344">
          <cell r="D344" t="str">
            <v>Terminal facilities</v>
          </cell>
          <cell r="E344" t="str">
            <v>Terminal International</v>
          </cell>
        </row>
        <row r="345">
          <cell r="D345" t="str">
            <v>Terminal facilities</v>
          </cell>
          <cell r="E345" t="str">
            <v>Terminal International</v>
          </cell>
        </row>
        <row r="346">
          <cell r="D346" t="str">
            <v>Terminal facilities</v>
          </cell>
          <cell r="E346" t="str">
            <v>Terminal International</v>
          </cell>
        </row>
        <row r="350">
          <cell r="D350" t="str">
            <v>Car parking</v>
          </cell>
          <cell r="E350" t="str">
            <v>Terminal International</v>
          </cell>
        </row>
        <row r="351">
          <cell r="D351" t="str">
            <v>Car parking</v>
          </cell>
          <cell r="E351" t="str">
            <v>Terminal International</v>
          </cell>
        </row>
        <row r="352">
          <cell r="D352" t="str">
            <v>Car parking</v>
          </cell>
          <cell r="E352" t="str">
            <v>Terminal International</v>
          </cell>
        </row>
        <row r="353">
          <cell r="D353" t="str">
            <v>Car parking</v>
          </cell>
          <cell r="E353" t="str">
            <v>Terminal International</v>
          </cell>
        </row>
        <row r="354">
          <cell r="D354" t="str">
            <v>Car parking</v>
          </cell>
          <cell r="E354" t="str">
            <v>Terminal International</v>
          </cell>
        </row>
        <row r="355">
          <cell r="D355" t="str">
            <v>Car parking</v>
          </cell>
          <cell r="E355" t="str">
            <v>Terminal International</v>
          </cell>
        </row>
        <row r="359">
          <cell r="D359" t="str">
            <v>Software</v>
          </cell>
          <cell r="E359" t="str">
            <v>Terminal International</v>
          </cell>
        </row>
        <row r="360">
          <cell r="D360" t="str">
            <v>Software</v>
          </cell>
          <cell r="E360" t="str">
            <v>Terminal International</v>
          </cell>
        </row>
        <row r="361">
          <cell r="D361" t="str">
            <v>Software</v>
          </cell>
          <cell r="E361" t="str">
            <v>Terminal International</v>
          </cell>
        </row>
        <row r="362">
          <cell r="D362" t="str">
            <v>Software</v>
          </cell>
          <cell r="E362" t="str">
            <v>Terminal International</v>
          </cell>
        </row>
        <row r="363">
          <cell r="D363" t="str">
            <v>Software</v>
          </cell>
          <cell r="E363" t="str">
            <v>Terminal International</v>
          </cell>
        </row>
        <row r="364">
          <cell r="D364" t="str">
            <v>Software</v>
          </cell>
          <cell r="E364" t="str">
            <v>Terminal International</v>
          </cell>
        </row>
        <row r="368">
          <cell r="D368" t="str">
            <v>[Blank FA 1]</v>
          </cell>
          <cell r="E368" t="str">
            <v>Terminal International</v>
          </cell>
        </row>
        <row r="369">
          <cell r="D369" t="str">
            <v>[Blank FA 1]</v>
          </cell>
          <cell r="E369" t="str">
            <v>Terminal International</v>
          </cell>
        </row>
        <row r="370">
          <cell r="D370" t="str">
            <v>[Blank FA 1]</v>
          </cell>
          <cell r="E370" t="str">
            <v>Terminal International</v>
          </cell>
        </row>
        <row r="371">
          <cell r="D371" t="str">
            <v>[Blank FA 1]</v>
          </cell>
          <cell r="E371" t="str">
            <v>Terminal International</v>
          </cell>
        </row>
        <row r="372">
          <cell r="D372" t="str">
            <v>[Blank FA 1]</v>
          </cell>
          <cell r="E372" t="str">
            <v>Terminal International</v>
          </cell>
        </row>
        <row r="373">
          <cell r="D373" t="str">
            <v>[Blank FA 1]</v>
          </cell>
          <cell r="E373" t="str">
            <v>Terminal International</v>
          </cell>
        </row>
        <row r="377">
          <cell r="D377" t="str">
            <v>[Blank FA 2]</v>
          </cell>
          <cell r="E377" t="str">
            <v>Terminal International</v>
          </cell>
        </row>
        <row r="378">
          <cell r="D378" t="str">
            <v>[Blank FA 2]</v>
          </cell>
          <cell r="E378" t="str">
            <v>Terminal International</v>
          </cell>
        </row>
        <row r="379">
          <cell r="D379" t="str">
            <v>[Blank FA 2]</v>
          </cell>
          <cell r="E379" t="str">
            <v>Terminal International</v>
          </cell>
        </row>
        <row r="380">
          <cell r="D380" t="str">
            <v>[Blank FA 2]</v>
          </cell>
          <cell r="E380" t="str">
            <v>Terminal International</v>
          </cell>
        </row>
        <row r="381">
          <cell r="D381" t="str">
            <v>[Blank FA 2]</v>
          </cell>
          <cell r="E381" t="str">
            <v>Terminal International</v>
          </cell>
        </row>
        <row r="382">
          <cell r="D382" t="str">
            <v>[Blank FA 2]</v>
          </cell>
          <cell r="E382" t="str">
            <v>Terminal International</v>
          </cell>
        </row>
        <row r="386">
          <cell r="D386" t="str">
            <v>[Blank FA 3]</v>
          </cell>
          <cell r="E386" t="str">
            <v>Terminal International</v>
          </cell>
        </row>
        <row r="387">
          <cell r="D387" t="str">
            <v>[Blank FA 3]</v>
          </cell>
          <cell r="E387" t="str">
            <v>Terminal International</v>
          </cell>
        </row>
        <row r="388">
          <cell r="D388" t="str">
            <v>[Blank FA 3]</v>
          </cell>
          <cell r="E388" t="str">
            <v>Terminal International</v>
          </cell>
        </row>
        <row r="389">
          <cell r="D389" t="str">
            <v>[Blank FA 3]</v>
          </cell>
          <cell r="E389" t="str">
            <v>Terminal International</v>
          </cell>
        </row>
        <row r="390">
          <cell r="D390" t="str">
            <v>[Blank FA 3]</v>
          </cell>
          <cell r="E390" t="str">
            <v>Terminal International</v>
          </cell>
        </row>
        <row r="391">
          <cell r="D391" t="str">
            <v>[Blank FA 3]</v>
          </cell>
          <cell r="E391" t="str">
            <v>Terminal International</v>
          </cell>
        </row>
        <row r="400">
          <cell r="D400" t="str">
            <v>Land</v>
          </cell>
          <cell r="E400" t="str">
            <v>Terminal International</v>
          </cell>
        </row>
        <row r="401">
          <cell r="D401" t="str">
            <v>Land</v>
          </cell>
          <cell r="E401" t="str">
            <v>Terminal International</v>
          </cell>
        </row>
        <row r="402">
          <cell r="D402" t="str">
            <v>Land</v>
          </cell>
          <cell r="E402" t="str">
            <v>Terminal International</v>
          </cell>
        </row>
        <row r="403">
          <cell r="D403" t="str">
            <v>Land</v>
          </cell>
          <cell r="E403" t="str">
            <v>Terminal International</v>
          </cell>
        </row>
        <row r="404">
          <cell r="D404" t="str">
            <v>Land</v>
          </cell>
          <cell r="E404" t="str">
            <v>Terminal International</v>
          </cell>
        </row>
        <row r="405">
          <cell r="D405" t="str">
            <v>Land</v>
          </cell>
          <cell r="E405" t="str">
            <v>Terminal International</v>
          </cell>
        </row>
        <row r="409">
          <cell r="D409" t="str">
            <v>Buildings</v>
          </cell>
          <cell r="E409" t="str">
            <v>Terminal International</v>
          </cell>
          <cell r="N409">
            <v>0</v>
          </cell>
        </row>
        <row r="410">
          <cell r="D410" t="str">
            <v>Buildings</v>
          </cell>
          <cell r="E410" t="str">
            <v>Terminal International</v>
          </cell>
          <cell r="N410">
            <v>0</v>
          </cell>
        </row>
        <row r="411">
          <cell r="D411" t="str">
            <v>Buildings</v>
          </cell>
          <cell r="E411" t="str">
            <v>Terminal International</v>
          </cell>
          <cell r="N411">
            <v>0</v>
          </cell>
        </row>
        <row r="412">
          <cell r="D412" t="str">
            <v>Buildings</v>
          </cell>
          <cell r="E412" t="str">
            <v>Terminal International</v>
          </cell>
          <cell r="N412">
            <v>0</v>
          </cell>
        </row>
        <row r="413">
          <cell r="D413" t="str">
            <v>Buildings</v>
          </cell>
          <cell r="E413" t="str">
            <v>Terminal International</v>
          </cell>
          <cell r="N413">
            <v>0</v>
          </cell>
        </row>
        <row r="414">
          <cell r="D414" t="str">
            <v>Buildings</v>
          </cell>
          <cell r="E414" t="str">
            <v>Terminal International</v>
          </cell>
        </row>
        <row r="418">
          <cell r="D418" t="str">
            <v>Computers &amp; Furniture</v>
          </cell>
          <cell r="E418" t="str">
            <v>Terminal International</v>
          </cell>
        </row>
        <row r="419">
          <cell r="D419" t="str">
            <v>Computers &amp; Furniture</v>
          </cell>
          <cell r="E419" t="str">
            <v>Terminal International</v>
          </cell>
        </row>
        <row r="420">
          <cell r="D420" t="str">
            <v>Computers &amp; Furniture</v>
          </cell>
          <cell r="E420" t="str">
            <v>Terminal International</v>
          </cell>
        </row>
        <row r="421">
          <cell r="D421" t="str">
            <v>Computers &amp; Furniture</v>
          </cell>
          <cell r="E421" t="str">
            <v>Terminal International</v>
          </cell>
        </row>
        <row r="422">
          <cell r="D422" t="str">
            <v>Computers &amp; Furniture</v>
          </cell>
          <cell r="E422" t="str">
            <v>Terminal International</v>
          </cell>
        </row>
        <row r="423">
          <cell r="D423" t="str">
            <v>Computers &amp; Furniture</v>
          </cell>
          <cell r="E423" t="str">
            <v>Terminal International</v>
          </cell>
        </row>
        <row r="427">
          <cell r="D427" t="str">
            <v>Motor vehicles</v>
          </cell>
          <cell r="E427" t="str">
            <v>Terminal International</v>
          </cell>
          <cell r="N427">
            <v>0</v>
          </cell>
        </row>
        <row r="428">
          <cell r="D428" t="str">
            <v>Motor vehicles</v>
          </cell>
          <cell r="E428" t="str">
            <v>Terminal International</v>
          </cell>
          <cell r="N428">
            <v>0</v>
          </cell>
        </row>
        <row r="429">
          <cell r="D429" t="str">
            <v>Motor vehicles</v>
          </cell>
          <cell r="E429" t="str">
            <v>Terminal International</v>
          </cell>
          <cell r="N429">
            <v>0</v>
          </cell>
        </row>
        <row r="430">
          <cell r="D430" t="str">
            <v>Motor vehicles</v>
          </cell>
          <cell r="E430" t="str">
            <v>Terminal International</v>
          </cell>
          <cell r="N430">
            <v>0</v>
          </cell>
        </row>
        <row r="431">
          <cell r="D431" t="str">
            <v>Motor vehicles</v>
          </cell>
          <cell r="E431" t="str">
            <v>Terminal International</v>
          </cell>
          <cell r="N431">
            <v>0</v>
          </cell>
        </row>
        <row r="432">
          <cell r="D432" t="str">
            <v>Motor vehicles</v>
          </cell>
          <cell r="E432" t="str">
            <v>Terminal International</v>
          </cell>
        </row>
        <row r="436">
          <cell r="D436" t="str">
            <v>Plant &amp; equipment</v>
          </cell>
          <cell r="E436" t="str">
            <v>Terminal International</v>
          </cell>
        </row>
        <row r="437">
          <cell r="D437" t="str">
            <v>Plant &amp; equipment</v>
          </cell>
          <cell r="E437" t="str">
            <v>Terminal International</v>
          </cell>
        </row>
        <row r="438">
          <cell r="D438" t="str">
            <v>Plant &amp; equipment</v>
          </cell>
          <cell r="E438" t="str">
            <v>Terminal International</v>
          </cell>
        </row>
        <row r="439">
          <cell r="D439" t="str">
            <v>Plant &amp; equipment</v>
          </cell>
          <cell r="E439" t="str">
            <v>Terminal International</v>
          </cell>
        </row>
        <row r="440">
          <cell r="D440" t="str">
            <v>Plant &amp; equipment</v>
          </cell>
          <cell r="E440" t="str">
            <v>Terminal International</v>
          </cell>
        </row>
        <row r="441">
          <cell r="D441" t="str">
            <v>Plant &amp; equipment</v>
          </cell>
          <cell r="E441" t="str">
            <v>Terminal International</v>
          </cell>
        </row>
        <row r="445">
          <cell r="D445" t="str">
            <v>Airfield Runway Apron Taxi</v>
          </cell>
          <cell r="E445" t="str">
            <v>Terminal International</v>
          </cell>
          <cell r="N445">
            <v>0</v>
          </cell>
        </row>
        <row r="446">
          <cell r="D446" t="str">
            <v>Airfield Runway Apron Taxi</v>
          </cell>
          <cell r="E446" t="str">
            <v>Terminal International</v>
          </cell>
          <cell r="N446">
            <v>0</v>
          </cell>
        </row>
        <row r="447">
          <cell r="D447" t="str">
            <v>Airfield Runway Apron Taxi</v>
          </cell>
          <cell r="E447" t="str">
            <v>Terminal International</v>
          </cell>
          <cell r="N447">
            <v>0</v>
          </cell>
        </row>
        <row r="448">
          <cell r="D448" t="str">
            <v>Airfield Runway Apron Taxi</v>
          </cell>
          <cell r="E448" t="str">
            <v>Terminal International</v>
          </cell>
          <cell r="N448">
            <v>0</v>
          </cell>
        </row>
        <row r="449">
          <cell r="D449" t="str">
            <v>Airfield Runway Apron Taxi</v>
          </cell>
          <cell r="E449" t="str">
            <v>Terminal International</v>
          </cell>
          <cell r="N449">
            <v>0</v>
          </cell>
        </row>
        <row r="450">
          <cell r="D450" t="str">
            <v>Airfield Runway Apron Taxi</v>
          </cell>
          <cell r="E450" t="str">
            <v>Terminal International</v>
          </cell>
        </row>
        <row r="454">
          <cell r="D454" t="str">
            <v>Infrastructure</v>
          </cell>
          <cell r="E454" t="str">
            <v>Terminal International</v>
          </cell>
        </row>
        <row r="455">
          <cell r="D455" t="str">
            <v>Infrastructure</v>
          </cell>
          <cell r="E455" t="str">
            <v>Terminal International</v>
          </cell>
        </row>
        <row r="456">
          <cell r="D456" t="str">
            <v>Infrastructure</v>
          </cell>
          <cell r="E456" t="str">
            <v>Terminal International</v>
          </cell>
        </row>
        <row r="457">
          <cell r="D457" t="str">
            <v>Infrastructure</v>
          </cell>
          <cell r="E457" t="str">
            <v>Terminal International</v>
          </cell>
        </row>
        <row r="458">
          <cell r="D458" t="str">
            <v>Infrastructure</v>
          </cell>
          <cell r="E458" t="str">
            <v>Terminal International</v>
          </cell>
        </row>
        <row r="459">
          <cell r="D459" t="str">
            <v>Infrastructure</v>
          </cell>
          <cell r="E459" t="str">
            <v>Terminal International</v>
          </cell>
        </row>
        <row r="463">
          <cell r="D463" t="str">
            <v>Terminal facilities</v>
          </cell>
          <cell r="E463" t="str">
            <v>Terminal International</v>
          </cell>
        </row>
        <row r="464">
          <cell r="D464" t="str">
            <v>Terminal facilities</v>
          </cell>
          <cell r="E464" t="str">
            <v>Terminal International</v>
          </cell>
        </row>
        <row r="465">
          <cell r="D465" t="str">
            <v>Terminal facilities</v>
          </cell>
          <cell r="E465" t="str">
            <v>Terminal International</v>
          </cell>
        </row>
        <row r="466">
          <cell r="D466" t="str">
            <v>Terminal facilities</v>
          </cell>
          <cell r="E466" t="str">
            <v>Terminal International</v>
          </cell>
        </row>
        <row r="467">
          <cell r="D467" t="str">
            <v>Terminal facilities</v>
          </cell>
          <cell r="E467" t="str">
            <v>Terminal International</v>
          </cell>
        </row>
        <row r="468">
          <cell r="D468" t="str">
            <v>Terminal facilities</v>
          </cell>
          <cell r="E468" t="str">
            <v>Terminal International</v>
          </cell>
        </row>
        <row r="472">
          <cell r="D472" t="str">
            <v>Car parking</v>
          </cell>
          <cell r="E472" t="str">
            <v>Terminal International</v>
          </cell>
          <cell r="N472">
            <v>0</v>
          </cell>
        </row>
        <row r="473">
          <cell r="D473" t="str">
            <v>Car parking</v>
          </cell>
          <cell r="E473" t="str">
            <v>Terminal International</v>
          </cell>
          <cell r="N473">
            <v>0</v>
          </cell>
        </row>
        <row r="474">
          <cell r="D474" t="str">
            <v>Car parking</v>
          </cell>
          <cell r="E474" t="str">
            <v>Terminal International</v>
          </cell>
          <cell r="N474">
            <v>0</v>
          </cell>
        </row>
        <row r="475">
          <cell r="D475" t="str">
            <v>Car parking</v>
          </cell>
          <cell r="E475" t="str">
            <v>Terminal International</v>
          </cell>
          <cell r="N475">
            <v>0</v>
          </cell>
        </row>
        <row r="476">
          <cell r="D476" t="str">
            <v>Car parking</v>
          </cell>
          <cell r="E476" t="str">
            <v>Terminal International</v>
          </cell>
          <cell r="N476">
            <v>0</v>
          </cell>
        </row>
        <row r="477">
          <cell r="D477" t="str">
            <v>Car parking</v>
          </cell>
          <cell r="E477" t="str">
            <v>Terminal International</v>
          </cell>
        </row>
        <row r="481">
          <cell r="D481" t="str">
            <v>Software</v>
          </cell>
          <cell r="E481" t="str">
            <v>Terminal International</v>
          </cell>
        </row>
        <row r="482">
          <cell r="D482" t="str">
            <v>Software</v>
          </cell>
          <cell r="E482" t="str">
            <v>Terminal International</v>
          </cell>
        </row>
        <row r="483">
          <cell r="D483" t="str">
            <v>Software</v>
          </cell>
          <cell r="E483" t="str">
            <v>Terminal International</v>
          </cell>
        </row>
        <row r="484">
          <cell r="D484" t="str">
            <v>Software</v>
          </cell>
          <cell r="E484" t="str">
            <v>Terminal International</v>
          </cell>
        </row>
        <row r="485">
          <cell r="D485" t="str">
            <v>Software</v>
          </cell>
          <cell r="E485" t="str">
            <v>Terminal International</v>
          </cell>
        </row>
        <row r="486">
          <cell r="D486" t="str">
            <v>Software</v>
          </cell>
          <cell r="E486" t="str">
            <v>Terminal International</v>
          </cell>
        </row>
        <row r="490">
          <cell r="D490" t="str">
            <v>[Blank FA 1]</v>
          </cell>
          <cell r="E490" t="str">
            <v>Terminal International</v>
          </cell>
        </row>
        <row r="491">
          <cell r="D491" t="str">
            <v>[Blank FA 1]</v>
          </cell>
          <cell r="E491" t="str">
            <v>Terminal International</v>
          </cell>
        </row>
        <row r="492">
          <cell r="D492" t="str">
            <v>[Blank FA 1]</v>
          </cell>
          <cell r="E492" t="str">
            <v>Terminal International</v>
          </cell>
        </row>
        <row r="493">
          <cell r="D493" t="str">
            <v>[Blank FA 1]</v>
          </cell>
          <cell r="E493" t="str">
            <v>Terminal International</v>
          </cell>
        </row>
        <row r="494">
          <cell r="D494" t="str">
            <v>[Blank FA 1]</v>
          </cell>
          <cell r="E494" t="str">
            <v>Terminal International</v>
          </cell>
        </row>
        <row r="495">
          <cell r="D495" t="str">
            <v>[Blank FA 1]</v>
          </cell>
          <cell r="E495" t="str">
            <v>Terminal International</v>
          </cell>
        </row>
        <row r="499">
          <cell r="D499" t="str">
            <v>[Blank FA 2]</v>
          </cell>
          <cell r="E499" t="str">
            <v>Terminal International</v>
          </cell>
        </row>
        <row r="500">
          <cell r="D500" t="str">
            <v>[Blank FA 2]</v>
          </cell>
          <cell r="E500" t="str">
            <v>Terminal International</v>
          </cell>
        </row>
        <row r="501">
          <cell r="D501" t="str">
            <v>[Blank FA 2]</v>
          </cell>
          <cell r="E501" t="str">
            <v>Terminal International</v>
          </cell>
        </row>
        <row r="502">
          <cell r="D502" t="str">
            <v>[Blank FA 2]</v>
          </cell>
          <cell r="E502" t="str">
            <v>Terminal International</v>
          </cell>
        </row>
        <row r="503">
          <cell r="D503" t="str">
            <v>[Blank FA 2]</v>
          </cell>
          <cell r="E503" t="str">
            <v>Terminal International</v>
          </cell>
        </row>
        <row r="504">
          <cell r="D504" t="str">
            <v>[Blank FA 2]</v>
          </cell>
          <cell r="E504" t="str">
            <v>Terminal International</v>
          </cell>
        </row>
        <row r="508">
          <cell r="D508" t="str">
            <v>[Blank FA 3]</v>
          </cell>
          <cell r="E508" t="str">
            <v>Terminal International</v>
          </cell>
        </row>
        <row r="509">
          <cell r="D509" t="str">
            <v>[Blank FA 3]</v>
          </cell>
          <cell r="E509" t="str">
            <v>Terminal International</v>
          </cell>
        </row>
        <row r="510">
          <cell r="D510" t="str">
            <v>[Blank FA 3]</v>
          </cell>
          <cell r="E510" t="str">
            <v>Terminal International</v>
          </cell>
        </row>
        <row r="511">
          <cell r="D511" t="str">
            <v>[Blank FA 3]</v>
          </cell>
          <cell r="E511" t="str">
            <v>Terminal International</v>
          </cell>
        </row>
        <row r="512">
          <cell r="D512" t="str">
            <v>[Blank FA 3]</v>
          </cell>
          <cell r="E512" t="str">
            <v>Terminal International</v>
          </cell>
        </row>
        <row r="513">
          <cell r="D513" t="str">
            <v>[Blank FA 3]</v>
          </cell>
          <cell r="E513" t="str">
            <v>Terminal International</v>
          </cell>
        </row>
        <row r="522">
          <cell r="D522" t="str">
            <v>Land</v>
          </cell>
          <cell r="E522" t="str">
            <v>Terminal Domestic - Jet</v>
          </cell>
        </row>
        <row r="523">
          <cell r="D523" t="str">
            <v>Land</v>
          </cell>
          <cell r="E523" t="str">
            <v>Terminal Domestic - Jet</v>
          </cell>
        </row>
        <row r="524">
          <cell r="D524" t="str">
            <v>Land</v>
          </cell>
          <cell r="E524" t="str">
            <v>Terminal Domestic - Jet</v>
          </cell>
        </row>
        <row r="525">
          <cell r="D525" t="str">
            <v>Land</v>
          </cell>
          <cell r="E525" t="str">
            <v>Terminal Domestic - Jet</v>
          </cell>
        </row>
        <row r="526">
          <cell r="D526" t="str">
            <v>Land</v>
          </cell>
          <cell r="E526" t="str">
            <v>Terminal Domestic - Jet</v>
          </cell>
        </row>
        <row r="527">
          <cell r="D527" t="str">
            <v>Land</v>
          </cell>
          <cell r="E527" t="str">
            <v>Terminal Domestic - Jet</v>
          </cell>
        </row>
        <row r="531">
          <cell r="D531" t="str">
            <v>Buildings</v>
          </cell>
          <cell r="E531" t="str">
            <v>Terminal Domestic - Jet</v>
          </cell>
        </row>
        <row r="532">
          <cell r="D532" t="str">
            <v>Buildings</v>
          </cell>
          <cell r="E532" t="str">
            <v>Terminal Domestic - Jet</v>
          </cell>
        </row>
        <row r="533">
          <cell r="D533" t="str">
            <v>Buildings</v>
          </cell>
          <cell r="E533" t="str">
            <v>Terminal Domestic - Jet</v>
          </cell>
        </row>
        <row r="534">
          <cell r="D534" t="str">
            <v>Buildings</v>
          </cell>
          <cell r="E534" t="str">
            <v>Terminal Domestic - Jet</v>
          </cell>
        </row>
        <row r="535">
          <cell r="D535" t="str">
            <v>Buildings</v>
          </cell>
          <cell r="E535" t="str">
            <v>Terminal Domestic - Jet</v>
          </cell>
        </row>
        <row r="536">
          <cell r="D536" t="str">
            <v>Buildings</v>
          </cell>
          <cell r="E536" t="str">
            <v>Terminal Domestic - Jet</v>
          </cell>
        </row>
        <row r="540">
          <cell r="D540" t="str">
            <v>Computers &amp; Furniture</v>
          </cell>
          <cell r="E540" t="str">
            <v>Terminal Domestic - Jet</v>
          </cell>
        </row>
        <row r="541">
          <cell r="D541" t="str">
            <v>Computers &amp; Furniture</v>
          </cell>
          <cell r="E541" t="str">
            <v>Terminal Domestic - Jet</v>
          </cell>
        </row>
        <row r="542">
          <cell r="D542" t="str">
            <v>Computers &amp; Furniture</v>
          </cell>
          <cell r="E542" t="str">
            <v>Terminal Domestic - Jet</v>
          </cell>
        </row>
        <row r="543">
          <cell r="D543" t="str">
            <v>Computers &amp; Furniture</v>
          </cell>
          <cell r="E543" t="str">
            <v>Terminal Domestic - Jet</v>
          </cell>
        </row>
        <row r="544">
          <cell r="D544" t="str">
            <v>Computers &amp; Furniture</v>
          </cell>
          <cell r="E544" t="str">
            <v>Terminal Domestic - Jet</v>
          </cell>
        </row>
        <row r="545">
          <cell r="D545" t="str">
            <v>Computers &amp; Furniture</v>
          </cell>
          <cell r="E545" t="str">
            <v>Terminal Domestic - Jet</v>
          </cell>
        </row>
        <row r="549">
          <cell r="D549" t="str">
            <v>Motor vehicles</v>
          </cell>
          <cell r="E549" t="str">
            <v>Terminal Domestic - Jet</v>
          </cell>
        </row>
        <row r="550">
          <cell r="D550" t="str">
            <v>Motor vehicles</v>
          </cell>
          <cell r="E550" t="str">
            <v>Terminal Domestic - Jet</v>
          </cell>
        </row>
        <row r="551">
          <cell r="D551" t="str">
            <v>Motor vehicles</v>
          </cell>
          <cell r="E551" t="str">
            <v>Terminal Domestic - Jet</v>
          </cell>
        </row>
        <row r="552">
          <cell r="D552" t="str">
            <v>Motor vehicles</v>
          </cell>
          <cell r="E552" t="str">
            <v>Terminal Domestic - Jet</v>
          </cell>
        </row>
        <row r="553">
          <cell r="D553" t="str">
            <v>Motor vehicles</v>
          </cell>
          <cell r="E553" t="str">
            <v>Terminal Domestic - Jet</v>
          </cell>
        </row>
        <row r="554">
          <cell r="D554" t="str">
            <v>Motor vehicles</v>
          </cell>
          <cell r="E554" t="str">
            <v>Terminal Domestic - Jet</v>
          </cell>
        </row>
        <row r="558">
          <cell r="D558" t="str">
            <v>Plant &amp; equipment</v>
          </cell>
          <cell r="E558" t="str">
            <v>Terminal Domestic - Jet</v>
          </cell>
        </row>
        <row r="559">
          <cell r="D559" t="str">
            <v>Plant &amp; equipment</v>
          </cell>
          <cell r="E559" t="str">
            <v>Terminal Domestic - Jet</v>
          </cell>
        </row>
        <row r="560">
          <cell r="D560" t="str">
            <v>Plant &amp; equipment</v>
          </cell>
          <cell r="E560" t="str">
            <v>Terminal Domestic - Jet</v>
          </cell>
        </row>
        <row r="561">
          <cell r="D561" t="str">
            <v>Plant &amp; equipment</v>
          </cell>
          <cell r="E561" t="str">
            <v>Terminal Domestic - Jet</v>
          </cell>
        </row>
        <row r="562">
          <cell r="D562" t="str">
            <v>Plant &amp; equipment</v>
          </cell>
          <cell r="E562" t="str">
            <v>Terminal Domestic - Jet</v>
          </cell>
        </row>
        <row r="563">
          <cell r="D563" t="str">
            <v>Plant &amp; equipment</v>
          </cell>
          <cell r="E563" t="str">
            <v>Terminal Domestic - Jet</v>
          </cell>
        </row>
        <row r="567">
          <cell r="D567" t="str">
            <v>Airfield Runway Apron Taxi</v>
          </cell>
          <cell r="E567" t="str">
            <v>Terminal Domestic - Jet</v>
          </cell>
        </row>
        <row r="568">
          <cell r="D568" t="str">
            <v>Airfield Runway Apron Taxi</v>
          </cell>
          <cell r="E568" t="str">
            <v>Terminal Domestic - Jet</v>
          </cell>
        </row>
        <row r="569">
          <cell r="D569" t="str">
            <v>Airfield Runway Apron Taxi</v>
          </cell>
          <cell r="E569" t="str">
            <v>Terminal Domestic - Jet</v>
          </cell>
        </row>
        <row r="570">
          <cell r="D570" t="str">
            <v>Airfield Runway Apron Taxi</v>
          </cell>
          <cell r="E570" t="str">
            <v>Terminal Domestic - Jet</v>
          </cell>
        </row>
        <row r="571">
          <cell r="D571" t="str">
            <v>Airfield Runway Apron Taxi</v>
          </cell>
          <cell r="E571" t="str">
            <v>Terminal Domestic - Jet</v>
          </cell>
        </row>
        <row r="572">
          <cell r="D572" t="str">
            <v>Airfield Runway Apron Taxi</v>
          </cell>
          <cell r="E572" t="str">
            <v>Terminal Domestic - Jet</v>
          </cell>
        </row>
        <row r="576">
          <cell r="D576" t="str">
            <v>Infrastructure</v>
          </cell>
          <cell r="E576" t="str">
            <v>Terminal Domestic - Jet</v>
          </cell>
        </row>
        <row r="577">
          <cell r="D577" t="str">
            <v>Infrastructure</v>
          </cell>
          <cell r="E577" t="str">
            <v>Terminal Domestic - Jet</v>
          </cell>
        </row>
        <row r="578">
          <cell r="D578" t="str">
            <v>Infrastructure</v>
          </cell>
          <cell r="E578" t="str">
            <v>Terminal Domestic - Jet</v>
          </cell>
        </row>
        <row r="579">
          <cell r="D579" t="str">
            <v>Infrastructure</v>
          </cell>
          <cell r="E579" t="str">
            <v>Terminal Domestic - Jet</v>
          </cell>
        </row>
        <row r="580">
          <cell r="D580" t="str">
            <v>Infrastructure</v>
          </cell>
          <cell r="E580" t="str">
            <v>Terminal Domestic - Jet</v>
          </cell>
        </row>
        <row r="581">
          <cell r="D581" t="str">
            <v>Infrastructure</v>
          </cell>
          <cell r="E581" t="str">
            <v>Terminal Domestic - Jet</v>
          </cell>
        </row>
        <row r="585">
          <cell r="D585" t="str">
            <v>Terminal facilities</v>
          </cell>
          <cell r="E585" t="str">
            <v>Terminal Domestic - Jet</v>
          </cell>
        </row>
        <row r="586">
          <cell r="D586" t="str">
            <v>Terminal facilities</v>
          </cell>
          <cell r="E586" t="str">
            <v>Terminal Domestic - Jet</v>
          </cell>
        </row>
        <row r="587">
          <cell r="D587" t="str">
            <v>Terminal facilities</v>
          </cell>
          <cell r="E587" t="str">
            <v>Terminal Domestic - Jet</v>
          </cell>
        </row>
        <row r="588">
          <cell r="D588" t="str">
            <v>Terminal facilities</v>
          </cell>
          <cell r="E588" t="str">
            <v>Terminal Domestic - Jet</v>
          </cell>
        </row>
        <row r="589">
          <cell r="D589" t="str">
            <v>Terminal facilities</v>
          </cell>
          <cell r="E589" t="str">
            <v>Terminal Domestic - Jet</v>
          </cell>
        </row>
        <row r="590">
          <cell r="D590" t="str">
            <v>Terminal facilities</v>
          </cell>
          <cell r="E590" t="str">
            <v>Terminal Domestic - Jet</v>
          </cell>
        </row>
        <row r="594">
          <cell r="D594" t="str">
            <v>Car parking</v>
          </cell>
          <cell r="E594" t="str">
            <v>Terminal Domestic - Jet</v>
          </cell>
        </row>
        <row r="595">
          <cell r="D595" t="str">
            <v>Car parking</v>
          </cell>
          <cell r="E595" t="str">
            <v>Terminal Domestic - Jet</v>
          </cell>
        </row>
        <row r="596">
          <cell r="D596" t="str">
            <v>Car parking</v>
          </cell>
          <cell r="E596" t="str">
            <v>Terminal Domestic - Jet</v>
          </cell>
        </row>
        <row r="597">
          <cell r="D597" t="str">
            <v>Car parking</v>
          </cell>
          <cell r="E597" t="str">
            <v>Terminal Domestic - Jet</v>
          </cell>
        </row>
        <row r="598">
          <cell r="D598" t="str">
            <v>Car parking</v>
          </cell>
          <cell r="E598" t="str">
            <v>Terminal Domestic - Jet</v>
          </cell>
        </row>
        <row r="599">
          <cell r="D599" t="str">
            <v>Car parking</v>
          </cell>
          <cell r="E599" t="str">
            <v>Terminal Domestic - Jet</v>
          </cell>
        </row>
        <row r="603">
          <cell r="D603" t="str">
            <v>Software</v>
          </cell>
          <cell r="E603" t="str">
            <v>Terminal Domestic - Jet</v>
          </cell>
        </row>
        <row r="604">
          <cell r="D604" t="str">
            <v>Software</v>
          </cell>
          <cell r="E604" t="str">
            <v>Terminal Domestic - Jet</v>
          </cell>
        </row>
        <row r="605">
          <cell r="D605" t="str">
            <v>Software</v>
          </cell>
          <cell r="E605" t="str">
            <v>Terminal Domestic - Jet</v>
          </cell>
        </row>
        <row r="606">
          <cell r="D606" t="str">
            <v>Software</v>
          </cell>
          <cell r="E606" t="str">
            <v>Terminal Domestic - Jet</v>
          </cell>
        </row>
        <row r="607">
          <cell r="D607" t="str">
            <v>Software</v>
          </cell>
          <cell r="E607" t="str">
            <v>Terminal Domestic - Jet</v>
          </cell>
        </row>
        <row r="608">
          <cell r="D608" t="str">
            <v>Software</v>
          </cell>
          <cell r="E608" t="str">
            <v>Terminal Domestic - Jet</v>
          </cell>
        </row>
        <row r="612">
          <cell r="D612" t="str">
            <v>[Blank FA 1]</v>
          </cell>
          <cell r="E612" t="str">
            <v>Terminal Domestic - Jet</v>
          </cell>
        </row>
        <row r="613">
          <cell r="D613" t="str">
            <v>[Blank FA 1]</v>
          </cell>
          <cell r="E613" t="str">
            <v>Terminal Domestic - Jet</v>
          </cell>
        </row>
        <row r="614">
          <cell r="D614" t="str">
            <v>[Blank FA 1]</v>
          </cell>
          <cell r="E614" t="str">
            <v>Terminal Domestic - Jet</v>
          </cell>
        </row>
        <row r="615">
          <cell r="D615" t="str">
            <v>[Blank FA 1]</v>
          </cell>
          <cell r="E615" t="str">
            <v>Terminal Domestic - Jet</v>
          </cell>
        </row>
        <row r="616">
          <cell r="D616" t="str">
            <v>[Blank FA 1]</v>
          </cell>
          <cell r="E616" t="str">
            <v>Terminal Domestic - Jet</v>
          </cell>
        </row>
        <row r="617">
          <cell r="D617" t="str">
            <v>[Blank FA 1]</v>
          </cell>
          <cell r="E617" t="str">
            <v>Terminal Domestic - Jet</v>
          </cell>
        </row>
        <row r="621">
          <cell r="D621" t="str">
            <v>[Blank FA 2]</v>
          </cell>
          <cell r="E621" t="str">
            <v>Terminal Domestic - Jet</v>
          </cell>
        </row>
        <row r="622">
          <cell r="D622" t="str">
            <v>[Blank FA 2]</v>
          </cell>
          <cell r="E622" t="str">
            <v>Terminal Domestic - Jet</v>
          </cell>
        </row>
        <row r="623">
          <cell r="D623" t="str">
            <v>[Blank FA 2]</v>
          </cell>
          <cell r="E623" t="str">
            <v>Terminal Domestic - Jet</v>
          </cell>
        </row>
        <row r="624">
          <cell r="D624" t="str">
            <v>[Blank FA 2]</v>
          </cell>
          <cell r="E624" t="str">
            <v>Terminal Domestic - Jet</v>
          </cell>
        </row>
        <row r="625">
          <cell r="D625" t="str">
            <v>[Blank FA 2]</v>
          </cell>
          <cell r="E625" t="str">
            <v>Terminal Domestic - Jet</v>
          </cell>
        </row>
        <row r="626">
          <cell r="D626" t="str">
            <v>[Blank FA 2]</v>
          </cell>
          <cell r="E626" t="str">
            <v>Terminal Domestic - Jet</v>
          </cell>
        </row>
        <row r="630">
          <cell r="D630" t="str">
            <v>[Blank FA 3]</v>
          </cell>
          <cell r="E630" t="str">
            <v>Terminal Domestic - Jet</v>
          </cell>
        </row>
        <row r="631">
          <cell r="D631" t="str">
            <v>[Blank FA 3]</v>
          </cell>
          <cell r="E631" t="str">
            <v>Terminal Domestic - Jet</v>
          </cell>
        </row>
        <row r="632">
          <cell r="D632" t="str">
            <v>[Blank FA 3]</v>
          </cell>
          <cell r="E632" t="str">
            <v>Terminal Domestic - Jet</v>
          </cell>
        </row>
        <row r="633">
          <cell r="D633" t="str">
            <v>[Blank FA 3]</v>
          </cell>
          <cell r="E633" t="str">
            <v>Terminal Domestic - Jet</v>
          </cell>
        </row>
        <row r="634">
          <cell r="D634" t="str">
            <v>[Blank FA 3]</v>
          </cell>
          <cell r="E634" t="str">
            <v>Terminal Domestic - Jet</v>
          </cell>
        </row>
        <row r="635">
          <cell r="D635" t="str">
            <v>[Blank FA 3]</v>
          </cell>
          <cell r="E635" t="str">
            <v>Terminal Domestic - Jet</v>
          </cell>
        </row>
        <row r="644">
          <cell r="D644" t="str">
            <v>Land</v>
          </cell>
          <cell r="E644" t="str">
            <v>Terminal Domestic - Jet</v>
          </cell>
        </row>
        <row r="645">
          <cell r="D645" t="str">
            <v>Land</v>
          </cell>
          <cell r="E645" t="str">
            <v>Terminal Domestic - Jet</v>
          </cell>
        </row>
        <row r="646">
          <cell r="D646" t="str">
            <v>Land</v>
          </cell>
          <cell r="E646" t="str">
            <v>Terminal Domestic - Jet</v>
          </cell>
        </row>
        <row r="647">
          <cell r="D647" t="str">
            <v>Land</v>
          </cell>
          <cell r="E647" t="str">
            <v>Terminal Domestic - Jet</v>
          </cell>
        </row>
        <row r="648">
          <cell r="D648" t="str">
            <v>Land</v>
          </cell>
          <cell r="E648" t="str">
            <v>Terminal Domestic - Jet</v>
          </cell>
        </row>
        <row r="649">
          <cell r="D649" t="str">
            <v>Land</v>
          </cell>
          <cell r="E649" t="str">
            <v>Terminal Domestic - Jet</v>
          </cell>
        </row>
        <row r="653">
          <cell r="D653" t="str">
            <v>Buildings</v>
          </cell>
          <cell r="E653" t="str">
            <v>Terminal Domestic - Jet</v>
          </cell>
          <cell r="N653">
            <v>0</v>
          </cell>
        </row>
        <row r="654">
          <cell r="D654" t="str">
            <v>Buildings</v>
          </cell>
          <cell r="E654" t="str">
            <v>Terminal Domestic - Jet</v>
          </cell>
          <cell r="N654">
            <v>0</v>
          </cell>
        </row>
        <row r="655">
          <cell r="D655" t="str">
            <v>Buildings</v>
          </cell>
          <cell r="E655" t="str">
            <v>Terminal Domestic - Jet</v>
          </cell>
          <cell r="N655">
            <v>0</v>
          </cell>
        </row>
        <row r="656">
          <cell r="D656" t="str">
            <v>Buildings</v>
          </cell>
          <cell r="E656" t="str">
            <v>Terminal Domestic - Jet</v>
          </cell>
          <cell r="N656">
            <v>0</v>
          </cell>
        </row>
        <row r="657">
          <cell r="D657" t="str">
            <v>Buildings</v>
          </cell>
          <cell r="E657" t="str">
            <v>Terminal Domestic - Jet</v>
          </cell>
          <cell r="N657">
            <v>0</v>
          </cell>
        </row>
        <row r="658">
          <cell r="D658" t="str">
            <v>Buildings</v>
          </cell>
          <cell r="E658" t="str">
            <v>Terminal Domestic - Jet</v>
          </cell>
        </row>
        <row r="662">
          <cell r="D662" t="str">
            <v>Computers &amp; Furniture</v>
          </cell>
          <cell r="E662" t="str">
            <v>Terminal Domestic - Jet</v>
          </cell>
        </row>
        <row r="663">
          <cell r="D663" t="str">
            <v>Computers &amp; Furniture</v>
          </cell>
          <cell r="E663" t="str">
            <v>Terminal Domestic - Jet</v>
          </cell>
        </row>
        <row r="664">
          <cell r="D664" t="str">
            <v>Computers &amp; Furniture</v>
          </cell>
          <cell r="E664" t="str">
            <v>Terminal Domestic - Jet</v>
          </cell>
        </row>
        <row r="665">
          <cell r="D665" t="str">
            <v>Computers &amp; Furniture</v>
          </cell>
          <cell r="E665" t="str">
            <v>Terminal Domestic - Jet</v>
          </cell>
        </row>
        <row r="666">
          <cell r="D666" t="str">
            <v>Computers &amp; Furniture</v>
          </cell>
          <cell r="E666" t="str">
            <v>Terminal Domestic - Jet</v>
          </cell>
        </row>
        <row r="667">
          <cell r="D667" t="str">
            <v>Computers &amp; Furniture</v>
          </cell>
          <cell r="E667" t="str">
            <v>Terminal Domestic - Jet</v>
          </cell>
        </row>
        <row r="671">
          <cell r="D671" t="str">
            <v>Motor vehicles</v>
          </cell>
          <cell r="E671" t="str">
            <v>Terminal Domestic - Jet</v>
          </cell>
          <cell r="N671">
            <v>0</v>
          </cell>
        </row>
        <row r="672">
          <cell r="D672" t="str">
            <v>Motor vehicles</v>
          </cell>
          <cell r="E672" t="str">
            <v>Terminal Domestic - Jet</v>
          </cell>
          <cell r="N672">
            <v>0</v>
          </cell>
        </row>
        <row r="673">
          <cell r="D673" t="str">
            <v>Motor vehicles</v>
          </cell>
          <cell r="E673" t="str">
            <v>Terminal Domestic - Jet</v>
          </cell>
          <cell r="N673">
            <v>0</v>
          </cell>
        </row>
        <row r="674">
          <cell r="D674" t="str">
            <v>Motor vehicles</v>
          </cell>
          <cell r="E674" t="str">
            <v>Terminal Domestic - Jet</v>
          </cell>
          <cell r="N674">
            <v>0</v>
          </cell>
        </row>
        <row r="675">
          <cell r="D675" t="str">
            <v>Motor vehicles</v>
          </cell>
          <cell r="E675" t="str">
            <v>Terminal Domestic - Jet</v>
          </cell>
          <cell r="N675">
            <v>0</v>
          </cell>
        </row>
        <row r="676">
          <cell r="D676" t="str">
            <v>Motor vehicles</v>
          </cell>
          <cell r="E676" t="str">
            <v>Terminal Domestic - Jet</v>
          </cell>
        </row>
        <row r="680">
          <cell r="D680" t="str">
            <v>Plant &amp; equipment</v>
          </cell>
          <cell r="E680" t="str">
            <v>Terminal Domestic - Jet</v>
          </cell>
        </row>
        <row r="681">
          <cell r="D681" t="str">
            <v>Plant &amp; equipment</v>
          </cell>
          <cell r="E681" t="str">
            <v>Terminal Domestic - Jet</v>
          </cell>
        </row>
        <row r="682">
          <cell r="D682" t="str">
            <v>Plant &amp; equipment</v>
          </cell>
          <cell r="E682" t="str">
            <v>Terminal Domestic - Jet</v>
          </cell>
        </row>
        <row r="683">
          <cell r="D683" t="str">
            <v>Plant &amp; equipment</v>
          </cell>
          <cell r="E683" t="str">
            <v>Terminal Domestic - Jet</v>
          </cell>
        </row>
        <row r="684">
          <cell r="D684" t="str">
            <v>Plant &amp; equipment</v>
          </cell>
          <cell r="E684" t="str">
            <v>Terminal Domestic - Jet</v>
          </cell>
        </row>
        <row r="685">
          <cell r="D685" t="str">
            <v>Plant &amp; equipment</v>
          </cell>
          <cell r="E685" t="str">
            <v>Terminal Domestic - Jet</v>
          </cell>
        </row>
        <row r="689">
          <cell r="D689" t="str">
            <v>Airfield Runway Apron Taxi</v>
          </cell>
          <cell r="E689" t="str">
            <v>Terminal Domestic - Jet</v>
          </cell>
          <cell r="N689">
            <v>0</v>
          </cell>
        </row>
        <row r="690">
          <cell r="D690" t="str">
            <v>Airfield Runway Apron Taxi</v>
          </cell>
          <cell r="E690" t="str">
            <v>Terminal Domestic - Jet</v>
          </cell>
          <cell r="N690">
            <v>0</v>
          </cell>
        </row>
        <row r="691">
          <cell r="D691" t="str">
            <v>Airfield Runway Apron Taxi</v>
          </cell>
          <cell r="E691" t="str">
            <v>Terminal Domestic - Jet</v>
          </cell>
          <cell r="N691">
            <v>0</v>
          </cell>
        </row>
        <row r="692">
          <cell r="D692" t="str">
            <v>Airfield Runway Apron Taxi</v>
          </cell>
          <cell r="E692" t="str">
            <v>Terminal Domestic - Jet</v>
          </cell>
          <cell r="N692">
            <v>0</v>
          </cell>
        </row>
        <row r="693">
          <cell r="D693" t="str">
            <v>Airfield Runway Apron Taxi</v>
          </cell>
          <cell r="E693" t="str">
            <v>Terminal Domestic - Jet</v>
          </cell>
          <cell r="N693">
            <v>0</v>
          </cell>
        </row>
        <row r="694">
          <cell r="D694" t="str">
            <v>Airfield Runway Apron Taxi</v>
          </cell>
          <cell r="E694" t="str">
            <v>Terminal Domestic - Jet</v>
          </cell>
        </row>
        <row r="698">
          <cell r="D698" t="str">
            <v>Infrastructure</v>
          </cell>
          <cell r="E698" t="str">
            <v>Terminal Domestic - Jet</v>
          </cell>
        </row>
        <row r="699">
          <cell r="D699" t="str">
            <v>Infrastructure</v>
          </cell>
          <cell r="E699" t="str">
            <v>Terminal Domestic - Jet</v>
          </cell>
        </row>
        <row r="700">
          <cell r="D700" t="str">
            <v>Infrastructure</v>
          </cell>
          <cell r="E700" t="str">
            <v>Terminal Domestic - Jet</v>
          </cell>
        </row>
        <row r="701">
          <cell r="D701" t="str">
            <v>Infrastructure</v>
          </cell>
          <cell r="E701" t="str">
            <v>Terminal Domestic - Jet</v>
          </cell>
        </row>
        <row r="702">
          <cell r="D702" t="str">
            <v>Infrastructure</v>
          </cell>
          <cell r="E702" t="str">
            <v>Terminal Domestic - Jet</v>
          </cell>
        </row>
        <row r="703">
          <cell r="D703" t="str">
            <v>Infrastructure</v>
          </cell>
          <cell r="E703" t="str">
            <v>Terminal Domestic - Jet</v>
          </cell>
        </row>
        <row r="707">
          <cell r="D707" t="str">
            <v>Terminal facilities</v>
          </cell>
          <cell r="E707" t="str">
            <v>Terminal Domestic - Jet</v>
          </cell>
        </row>
        <row r="708">
          <cell r="D708" t="str">
            <v>Terminal facilities</v>
          </cell>
          <cell r="E708" t="str">
            <v>Terminal Domestic - Jet</v>
          </cell>
        </row>
        <row r="709">
          <cell r="D709" t="str">
            <v>Terminal facilities</v>
          </cell>
          <cell r="E709" t="str">
            <v>Terminal Domestic - Jet</v>
          </cell>
        </row>
        <row r="710">
          <cell r="D710" t="str">
            <v>Terminal facilities</v>
          </cell>
          <cell r="E710" t="str">
            <v>Terminal Domestic - Jet</v>
          </cell>
        </row>
        <row r="711">
          <cell r="D711" t="str">
            <v>Terminal facilities</v>
          </cell>
          <cell r="E711" t="str">
            <v>Terminal Domestic - Jet</v>
          </cell>
        </row>
        <row r="712">
          <cell r="D712" t="str">
            <v>Terminal facilities</v>
          </cell>
          <cell r="E712" t="str">
            <v>Terminal Domestic - Jet</v>
          </cell>
        </row>
        <row r="716">
          <cell r="D716" t="str">
            <v>Car parking</v>
          </cell>
          <cell r="E716" t="str">
            <v>Terminal Domestic - Jet</v>
          </cell>
          <cell r="N716">
            <v>0</v>
          </cell>
        </row>
        <row r="717">
          <cell r="D717" t="str">
            <v>Car parking</v>
          </cell>
          <cell r="E717" t="str">
            <v>Terminal Domestic - Jet</v>
          </cell>
          <cell r="N717">
            <v>0</v>
          </cell>
        </row>
        <row r="718">
          <cell r="D718" t="str">
            <v>Car parking</v>
          </cell>
          <cell r="E718" t="str">
            <v>Terminal Domestic - Jet</v>
          </cell>
          <cell r="N718">
            <v>0</v>
          </cell>
        </row>
        <row r="719">
          <cell r="D719" t="str">
            <v>Car parking</v>
          </cell>
          <cell r="E719" t="str">
            <v>Terminal Domestic - Jet</v>
          </cell>
          <cell r="N719">
            <v>0</v>
          </cell>
        </row>
        <row r="720">
          <cell r="D720" t="str">
            <v>Car parking</v>
          </cell>
          <cell r="E720" t="str">
            <v>Terminal Domestic - Jet</v>
          </cell>
          <cell r="N720">
            <v>0</v>
          </cell>
        </row>
        <row r="721">
          <cell r="D721" t="str">
            <v>Car parking</v>
          </cell>
          <cell r="E721" t="str">
            <v>Terminal Domestic - Jet</v>
          </cell>
        </row>
        <row r="725">
          <cell r="D725" t="str">
            <v>Software</v>
          </cell>
          <cell r="E725" t="str">
            <v>Terminal Domestic - Jet</v>
          </cell>
        </row>
        <row r="726">
          <cell r="D726" t="str">
            <v>Software</v>
          </cell>
          <cell r="E726" t="str">
            <v>Terminal Domestic - Jet</v>
          </cell>
        </row>
        <row r="727">
          <cell r="D727" t="str">
            <v>Software</v>
          </cell>
          <cell r="E727" t="str">
            <v>Terminal Domestic - Jet</v>
          </cell>
        </row>
        <row r="728">
          <cell r="D728" t="str">
            <v>Software</v>
          </cell>
          <cell r="E728" t="str">
            <v>Terminal Domestic - Jet</v>
          </cell>
        </row>
        <row r="729">
          <cell r="D729" t="str">
            <v>Software</v>
          </cell>
          <cell r="E729" t="str">
            <v>Terminal Domestic - Jet</v>
          </cell>
        </row>
        <row r="730">
          <cell r="D730" t="str">
            <v>Software</v>
          </cell>
          <cell r="E730" t="str">
            <v>Terminal Domestic - Jet</v>
          </cell>
        </row>
        <row r="734">
          <cell r="D734" t="str">
            <v>[Blank FA 1]</v>
          </cell>
          <cell r="E734" t="str">
            <v>Terminal Domestic - Jet</v>
          </cell>
        </row>
        <row r="735">
          <cell r="D735" t="str">
            <v>[Blank FA 1]</v>
          </cell>
          <cell r="E735" t="str">
            <v>Terminal Domestic - Jet</v>
          </cell>
        </row>
        <row r="736">
          <cell r="D736" t="str">
            <v>[Blank FA 1]</v>
          </cell>
          <cell r="E736" t="str">
            <v>Terminal Domestic - Jet</v>
          </cell>
        </row>
        <row r="737">
          <cell r="D737" t="str">
            <v>[Blank FA 1]</v>
          </cell>
          <cell r="E737" t="str">
            <v>Terminal Domestic - Jet</v>
          </cell>
        </row>
        <row r="738">
          <cell r="D738" t="str">
            <v>[Blank FA 1]</v>
          </cell>
          <cell r="E738" t="str">
            <v>Terminal Domestic - Jet</v>
          </cell>
        </row>
        <row r="739">
          <cell r="D739" t="str">
            <v>[Blank FA 1]</v>
          </cell>
          <cell r="E739" t="str">
            <v>Terminal Domestic - Jet</v>
          </cell>
        </row>
        <row r="743">
          <cell r="D743" t="str">
            <v>[Blank FA 2]</v>
          </cell>
          <cell r="E743" t="str">
            <v>Terminal Domestic - Jet</v>
          </cell>
        </row>
        <row r="744">
          <cell r="D744" t="str">
            <v>[Blank FA 2]</v>
          </cell>
          <cell r="E744" t="str">
            <v>Terminal Domestic - Jet</v>
          </cell>
        </row>
        <row r="745">
          <cell r="D745" t="str">
            <v>[Blank FA 2]</v>
          </cell>
          <cell r="E745" t="str">
            <v>Terminal Domestic - Jet</v>
          </cell>
        </row>
        <row r="746">
          <cell r="D746" t="str">
            <v>[Blank FA 2]</v>
          </cell>
          <cell r="E746" t="str">
            <v>Terminal Domestic - Jet</v>
          </cell>
        </row>
        <row r="747">
          <cell r="D747" t="str">
            <v>[Blank FA 2]</v>
          </cell>
          <cell r="E747" t="str">
            <v>Terminal Domestic - Jet</v>
          </cell>
        </row>
        <row r="748">
          <cell r="D748" t="str">
            <v>[Blank FA 2]</v>
          </cell>
          <cell r="E748" t="str">
            <v>Terminal Domestic - Jet</v>
          </cell>
        </row>
        <row r="752">
          <cell r="D752" t="str">
            <v>[Blank FA 3]</v>
          </cell>
          <cell r="E752" t="str">
            <v>Terminal Domestic - Jet</v>
          </cell>
        </row>
        <row r="753">
          <cell r="D753" t="str">
            <v>[Blank FA 3]</v>
          </cell>
          <cell r="E753" t="str">
            <v>Terminal Domestic - Jet</v>
          </cell>
        </row>
        <row r="754">
          <cell r="D754" t="str">
            <v>[Blank FA 3]</v>
          </cell>
          <cell r="E754" t="str">
            <v>Terminal Domestic - Jet</v>
          </cell>
        </row>
        <row r="755">
          <cell r="D755" t="str">
            <v>[Blank FA 3]</v>
          </cell>
          <cell r="E755" t="str">
            <v>Terminal Domestic - Jet</v>
          </cell>
        </row>
        <row r="756">
          <cell r="D756" t="str">
            <v>[Blank FA 3]</v>
          </cell>
          <cell r="E756" t="str">
            <v>Terminal Domestic - Jet</v>
          </cell>
        </row>
        <row r="757">
          <cell r="D757" t="str">
            <v>[Blank FA 3]</v>
          </cell>
          <cell r="E757" t="str">
            <v>Terminal Domestic - Jet</v>
          </cell>
        </row>
        <row r="766">
          <cell r="D766" t="str">
            <v>Land</v>
          </cell>
          <cell r="E766" t="str">
            <v>Terminal Domestic - Turbo Prop</v>
          </cell>
        </row>
        <row r="767">
          <cell r="D767" t="str">
            <v>Land</v>
          </cell>
          <cell r="E767" t="str">
            <v>Terminal Domestic - Turbo Prop</v>
          </cell>
        </row>
        <row r="768">
          <cell r="D768" t="str">
            <v>Land</v>
          </cell>
          <cell r="E768" t="str">
            <v>Terminal Domestic - Turbo Prop</v>
          </cell>
        </row>
        <row r="769">
          <cell r="D769" t="str">
            <v>Land</v>
          </cell>
          <cell r="E769" t="str">
            <v>Terminal Domestic - Turbo Prop</v>
          </cell>
        </row>
        <row r="770">
          <cell r="D770" t="str">
            <v>Land</v>
          </cell>
          <cell r="E770" t="str">
            <v>Terminal Domestic - Turbo Prop</v>
          </cell>
        </row>
        <row r="771">
          <cell r="D771" t="str">
            <v>Land</v>
          </cell>
          <cell r="E771" t="str">
            <v>Terminal Domestic - Turbo Prop</v>
          </cell>
        </row>
        <row r="775">
          <cell r="D775" t="str">
            <v>Buildings</v>
          </cell>
          <cell r="E775" t="str">
            <v>Terminal Domestic - Turbo Prop</v>
          </cell>
        </row>
        <row r="776">
          <cell r="D776" t="str">
            <v>Buildings</v>
          </cell>
          <cell r="E776" t="str">
            <v>Terminal Domestic - Turbo Prop</v>
          </cell>
        </row>
        <row r="777">
          <cell r="D777" t="str">
            <v>Buildings</v>
          </cell>
          <cell r="E777" t="str">
            <v>Terminal Domestic - Turbo Prop</v>
          </cell>
        </row>
        <row r="778">
          <cell r="D778" t="str">
            <v>Buildings</v>
          </cell>
          <cell r="E778" t="str">
            <v>Terminal Domestic - Turbo Prop</v>
          </cell>
        </row>
        <row r="779">
          <cell r="D779" t="str">
            <v>Buildings</v>
          </cell>
          <cell r="E779" t="str">
            <v>Terminal Domestic - Turbo Prop</v>
          </cell>
        </row>
        <row r="780">
          <cell r="D780" t="str">
            <v>Buildings</v>
          </cell>
          <cell r="E780" t="str">
            <v>Terminal Domestic - Turbo Prop</v>
          </cell>
        </row>
        <row r="784">
          <cell r="D784" t="str">
            <v>Computers &amp; Furniture</v>
          </cell>
          <cell r="E784" t="str">
            <v>Terminal Domestic - Turbo Prop</v>
          </cell>
        </row>
        <row r="785">
          <cell r="D785" t="str">
            <v>Computers &amp; Furniture</v>
          </cell>
          <cell r="E785" t="str">
            <v>Terminal Domestic - Turbo Prop</v>
          </cell>
        </row>
        <row r="786">
          <cell r="D786" t="str">
            <v>Computers &amp; Furniture</v>
          </cell>
          <cell r="E786" t="str">
            <v>Terminal Domestic - Turbo Prop</v>
          </cell>
        </row>
        <row r="787">
          <cell r="D787" t="str">
            <v>Computers &amp; Furniture</v>
          </cell>
          <cell r="E787" t="str">
            <v>Terminal Domestic - Turbo Prop</v>
          </cell>
        </row>
        <row r="788">
          <cell r="D788" t="str">
            <v>Computers &amp; Furniture</v>
          </cell>
          <cell r="E788" t="str">
            <v>Terminal Domestic - Turbo Prop</v>
          </cell>
        </row>
        <row r="789">
          <cell r="D789" t="str">
            <v>Computers &amp; Furniture</v>
          </cell>
          <cell r="E789" t="str">
            <v>Terminal Domestic - Turbo Prop</v>
          </cell>
        </row>
        <row r="793">
          <cell r="D793" t="str">
            <v>Motor vehicles</v>
          </cell>
          <cell r="E793" t="str">
            <v>Terminal Domestic - Turbo Prop</v>
          </cell>
        </row>
        <row r="794">
          <cell r="D794" t="str">
            <v>Motor vehicles</v>
          </cell>
          <cell r="E794" t="str">
            <v>Terminal Domestic - Turbo Prop</v>
          </cell>
        </row>
        <row r="795">
          <cell r="D795" t="str">
            <v>Motor vehicles</v>
          </cell>
          <cell r="E795" t="str">
            <v>Terminal Domestic - Turbo Prop</v>
          </cell>
        </row>
        <row r="796">
          <cell r="D796" t="str">
            <v>Motor vehicles</v>
          </cell>
          <cell r="E796" t="str">
            <v>Terminal Domestic - Turbo Prop</v>
          </cell>
        </row>
        <row r="797">
          <cell r="D797" t="str">
            <v>Motor vehicles</v>
          </cell>
          <cell r="E797" t="str">
            <v>Terminal Domestic - Turbo Prop</v>
          </cell>
        </row>
        <row r="798">
          <cell r="D798" t="str">
            <v>Motor vehicles</v>
          </cell>
          <cell r="E798" t="str">
            <v>Terminal Domestic - Turbo Prop</v>
          </cell>
        </row>
        <row r="802">
          <cell r="D802" t="str">
            <v>Plant &amp; equipment</v>
          </cell>
          <cell r="E802" t="str">
            <v>Terminal Domestic - Turbo Prop</v>
          </cell>
        </row>
        <row r="803">
          <cell r="D803" t="str">
            <v>Plant &amp; equipment</v>
          </cell>
          <cell r="E803" t="str">
            <v>Terminal Domestic - Turbo Prop</v>
          </cell>
        </row>
        <row r="804">
          <cell r="D804" t="str">
            <v>Plant &amp; equipment</v>
          </cell>
          <cell r="E804" t="str">
            <v>Terminal Domestic - Turbo Prop</v>
          </cell>
        </row>
        <row r="805">
          <cell r="D805" t="str">
            <v>Plant &amp; equipment</v>
          </cell>
          <cell r="E805" t="str">
            <v>Terminal Domestic - Turbo Prop</v>
          </cell>
        </row>
        <row r="806">
          <cell r="D806" t="str">
            <v>Plant &amp; equipment</v>
          </cell>
          <cell r="E806" t="str">
            <v>Terminal Domestic - Turbo Prop</v>
          </cell>
        </row>
        <row r="807">
          <cell r="D807" t="str">
            <v>Plant &amp; equipment</v>
          </cell>
          <cell r="E807" t="str">
            <v>Terminal Domestic - Turbo Prop</v>
          </cell>
        </row>
        <row r="811">
          <cell r="D811" t="str">
            <v>Airfield Runway Apron Taxi</v>
          </cell>
          <cell r="E811" t="str">
            <v>Terminal Domestic - Turbo Prop</v>
          </cell>
        </row>
        <row r="812">
          <cell r="D812" t="str">
            <v>Airfield Runway Apron Taxi</v>
          </cell>
          <cell r="E812" t="str">
            <v>Terminal Domestic - Turbo Prop</v>
          </cell>
        </row>
        <row r="813">
          <cell r="D813" t="str">
            <v>Airfield Runway Apron Taxi</v>
          </cell>
          <cell r="E813" t="str">
            <v>Terminal Domestic - Turbo Prop</v>
          </cell>
        </row>
        <row r="814">
          <cell r="D814" t="str">
            <v>Airfield Runway Apron Taxi</v>
          </cell>
          <cell r="E814" t="str">
            <v>Terminal Domestic - Turbo Prop</v>
          </cell>
        </row>
        <row r="815">
          <cell r="D815" t="str">
            <v>Airfield Runway Apron Taxi</v>
          </cell>
          <cell r="E815" t="str">
            <v>Terminal Domestic - Turbo Prop</v>
          </cell>
        </row>
        <row r="816">
          <cell r="D816" t="str">
            <v>Airfield Runway Apron Taxi</v>
          </cell>
          <cell r="E816" t="str">
            <v>Terminal Domestic - Turbo Prop</v>
          </cell>
        </row>
        <row r="820">
          <cell r="D820" t="str">
            <v>Infrastructure</v>
          </cell>
          <cell r="E820" t="str">
            <v>Terminal Domestic - Turbo Prop</v>
          </cell>
        </row>
        <row r="821">
          <cell r="D821" t="str">
            <v>Infrastructure</v>
          </cell>
          <cell r="E821" t="str">
            <v>Terminal Domestic - Turbo Prop</v>
          </cell>
        </row>
        <row r="822">
          <cell r="D822" t="str">
            <v>Infrastructure</v>
          </cell>
          <cell r="E822" t="str">
            <v>Terminal Domestic - Turbo Prop</v>
          </cell>
        </row>
        <row r="823">
          <cell r="D823" t="str">
            <v>Infrastructure</v>
          </cell>
          <cell r="E823" t="str">
            <v>Terminal Domestic - Turbo Prop</v>
          </cell>
        </row>
        <row r="824">
          <cell r="D824" t="str">
            <v>Infrastructure</v>
          </cell>
          <cell r="E824" t="str">
            <v>Terminal Domestic - Turbo Prop</v>
          </cell>
        </row>
        <row r="825">
          <cell r="D825" t="str">
            <v>Infrastructure</v>
          </cell>
          <cell r="E825" t="str">
            <v>Terminal Domestic - Turbo Prop</v>
          </cell>
        </row>
        <row r="829">
          <cell r="D829" t="str">
            <v>Terminal facilities</v>
          </cell>
          <cell r="E829" t="str">
            <v>Terminal Domestic - Turbo Prop</v>
          </cell>
        </row>
        <row r="830">
          <cell r="D830" t="str">
            <v>Terminal facilities</v>
          </cell>
          <cell r="E830" t="str">
            <v>Terminal Domestic - Turbo Prop</v>
          </cell>
        </row>
        <row r="831">
          <cell r="D831" t="str">
            <v>Terminal facilities</v>
          </cell>
          <cell r="E831" t="str">
            <v>Terminal Domestic - Turbo Prop</v>
          </cell>
        </row>
        <row r="832">
          <cell r="D832" t="str">
            <v>Terminal facilities</v>
          </cell>
          <cell r="E832" t="str">
            <v>Terminal Domestic - Turbo Prop</v>
          </cell>
        </row>
        <row r="833">
          <cell r="D833" t="str">
            <v>Terminal facilities</v>
          </cell>
          <cell r="E833" t="str">
            <v>Terminal Domestic - Turbo Prop</v>
          </cell>
        </row>
        <row r="834">
          <cell r="D834" t="str">
            <v>Terminal facilities</v>
          </cell>
          <cell r="E834" t="str">
            <v>Terminal Domestic - Turbo Prop</v>
          </cell>
        </row>
        <row r="838">
          <cell r="D838" t="str">
            <v>Car parking</v>
          </cell>
          <cell r="E838" t="str">
            <v>Terminal Domestic - Turbo Prop</v>
          </cell>
        </row>
        <row r="839">
          <cell r="D839" t="str">
            <v>Car parking</v>
          </cell>
          <cell r="E839" t="str">
            <v>Terminal Domestic - Turbo Prop</v>
          </cell>
        </row>
        <row r="840">
          <cell r="D840" t="str">
            <v>Car parking</v>
          </cell>
          <cell r="E840" t="str">
            <v>Terminal Domestic - Turbo Prop</v>
          </cell>
        </row>
        <row r="841">
          <cell r="D841" t="str">
            <v>Car parking</v>
          </cell>
          <cell r="E841" t="str">
            <v>Terminal Domestic - Turbo Prop</v>
          </cell>
        </row>
        <row r="842">
          <cell r="D842" t="str">
            <v>Car parking</v>
          </cell>
          <cell r="E842" t="str">
            <v>Terminal Domestic - Turbo Prop</v>
          </cell>
        </row>
        <row r="843">
          <cell r="D843" t="str">
            <v>Car parking</v>
          </cell>
          <cell r="E843" t="str">
            <v>Terminal Domestic - Turbo Prop</v>
          </cell>
        </row>
        <row r="847">
          <cell r="D847" t="str">
            <v>Software</v>
          </cell>
          <cell r="E847" t="str">
            <v>Terminal Domestic - Turbo Prop</v>
          </cell>
        </row>
        <row r="848">
          <cell r="D848" t="str">
            <v>Software</v>
          </cell>
          <cell r="E848" t="str">
            <v>Terminal Domestic - Turbo Prop</v>
          </cell>
        </row>
        <row r="849">
          <cell r="D849" t="str">
            <v>Software</v>
          </cell>
          <cell r="E849" t="str">
            <v>Terminal Domestic - Turbo Prop</v>
          </cell>
        </row>
        <row r="850">
          <cell r="D850" t="str">
            <v>Software</v>
          </cell>
          <cell r="E850" t="str">
            <v>Terminal Domestic - Turbo Prop</v>
          </cell>
        </row>
        <row r="851">
          <cell r="D851" t="str">
            <v>Software</v>
          </cell>
          <cell r="E851" t="str">
            <v>Terminal Domestic - Turbo Prop</v>
          </cell>
        </row>
        <row r="852">
          <cell r="D852" t="str">
            <v>Software</v>
          </cell>
          <cell r="E852" t="str">
            <v>Terminal Domestic - Turbo Prop</v>
          </cell>
        </row>
        <row r="856">
          <cell r="D856" t="str">
            <v>[Blank FA 1]</v>
          </cell>
          <cell r="E856" t="str">
            <v>Terminal Domestic - Turbo Prop</v>
          </cell>
        </row>
        <row r="857">
          <cell r="D857" t="str">
            <v>[Blank FA 1]</v>
          </cell>
          <cell r="E857" t="str">
            <v>Terminal Domestic - Turbo Prop</v>
          </cell>
        </row>
        <row r="858">
          <cell r="D858" t="str">
            <v>[Blank FA 1]</v>
          </cell>
          <cell r="E858" t="str">
            <v>Terminal Domestic - Turbo Prop</v>
          </cell>
        </row>
        <row r="859">
          <cell r="D859" t="str">
            <v>[Blank FA 1]</v>
          </cell>
          <cell r="E859" t="str">
            <v>Terminal Domestic - Turbo Prop</v>
          </cell>
        </row>
        <row r="860">
          <cell r="D860" t="str">
            <v>[Blank FA 1]</v>
          </cell>
          <cell r="E860" t="str">
            <v>Terminal Domestic - Turbo Prop</v>
          </cell>
        </row>
        <row r="861">
          <cell r="D861" t="str">
            <v>[Blank FA 1]</v>
          </cell>
          <cell r="E861" t="str">
            <v>Terminal Domestic - Turbo Prop</v>
          </cell>
        </row>
        <row r="865">
          <cell r="D865" t="str">
            <v>[Blank FA 2]</v>
          </cell>
          <cell r="E865" t="str">
            <v>Terminal Domestic - Turbo Prop</v>
          </cell>
        </row>
        <row r="866">
          <cell r="D866" t="str">
            <v>[Blank FA 2]</v>
          </cell>
          <cell r="E866" t="str">
            <v>Terminal Domestic - Turbo Prop</v>
          </cell>
        </row>
        <row r="867">
          <cell r="D867" t="str">
            <v>[Blank FA 2]</v>
          </cell>
          <cell r="E867" t="str">
            <v>Terminal Domestic - Turbo Prop</v>
          </cell>
        </row>
        <row r="868">
          <cell r="D868" t="str">
            <v>[Blank FA 2]</v>
          </cell>
          <cell r="E868" t="str">
            <v>Terminal Domestic - Turbo Prop</v>
          </cell>
        </row>
        <row r="869">
          <cell r="D869" t="str">
            <v>[Blank FA 2]</v>
          </cell>
          <cell r="E869" t="str">
            <v>Terminal Domestic - Turbo Prop</v>
          </cell>
        </row>
        <row r="870">
          <cell r="D870" t="str">
            <v>[Blank FA 2]</v>
          </cell>
          <cell r="E870" t="str">
            <v>Terminal Domestic - Turbo Prop</v>
          </cell>
        </row>
        <row r="874">
          <cell r="D874" t="str">
            <v>[Blank FA 3]</v>
          </cell>
          <cell r="E874" t="str">
            <v>Terminal Domestic - Turbo Prop</v>
          </cell>
        </row>
        <row r="875">
          <cell r="D875" t="str">
            <v>[Blank FA 3]</v>
          </cell>
          <cell r="E875" t="str">
            <v>Terminal Domestic - Turbo Prop</v>
          </cell>
        </row>
        <row r="876">
          <cell r="D876" t="str">
            <v>[Blank FA 3]</v>
          </cell>
          <cell r="E876" t="str">
            <v>Terminal Domestic - Turbo Prop</v>
          </cell>
        </row>
        <row r="877">
          <cell r="D877" t="str">
            <v>[Blank FA 3]</v>
          </cell>
          <cell r="E877" t="str">
            <v>Terminal Domestic - Turbo Prop</v>
          </cell>
        </row>
        <row r="878">
          <cell r="D878" t="str">
            <v>[Blank FA 3]</v>
          </cell>
          <cell r="E878" t="str">
            <v>Terminal Domestic - Turbo Prop</v>
          </cell>
        </row>
        <row r="879">
          <cell r="D879" t="str">
            <v>[Blank FA 3]</v>
          </cell>
          <cell r="E879" t="str">
            <v>Terminal Domestic - Turbo Prop</v>
          </cell>
        </row>
        <row r="888">
          <cell r="D888" t="str">
            <v>Land</v>
          </cell>
          <cell r="E888" t="str">
            <v>Terminal Domestic - Turbo Prop</v>
          </cell>
        </row>
        <row r="889">
          <cell r="D889" t="str">
            <v>Land</v>
          </cell>
          <cell r="E889" t="str">
            <v>Terminal Domestic - Turbo Prop</v>
          </cell>
        </row>
        <row r="890">
          <cell r="D890" t="str">
            <v>Land</v>
          </cell>
          <cell r="E890" t="str">
            <v>Terminal Domestic - Turbo Prop</v>
          </cell>
        </row>
        <row r="891">
          <cell r="D891" t="str">
            <v>Land</v>
          </cell>
          <cell r="E891" t="str">
            <v>Terminal Domestic - Turbo Prop</v>
          </cell>
        </row>
        <row r="892">
          <cell r="D892" t="str">
            <v>Land</v>
          </cell>
          <cell r="E892" t="str">
            <v>Terminal Domestic - Turbo Prop</v>
          </cell>
        </row>
        <row r="893">
          <cell r="D893" t="str">
            <v>Land</v>
          </cell>
          <cell r="E893" t="str">
            <v>Terminal Domestic - Turbo Prop</v>
          </cell>
        </row>
        <row r="897">
          <cell r="D897" t="str">
            <v>Buildings</v>
          </cell>
          <cell r="E897" t="str">
            <v>Terminal Domestic - Turbo Prop</v>
          </cell>
          <cell r="N897">
            <v>0</v>
          </cell>
        </row>
        <row r="898">
          <cell r="D898" t="str">
            <v>Buildings</v>
          </cell>
          <cell r="E898" t="str">
            <v>Terminal Domestic - Turbo Prop</v>
          </cell>
          <cell r="N898">
            <v>0</v>
          </cell>
        </row>
        <row r="899">
          <cell r="D899" t="str">
            <v>Buildings</v>
          </cell>
          <cell r="E899" t="str">
            <v>Terminal Domestic - Turbo Prop</v>
          </cell>
          <cell r="N899">
            <v>0</v>
          </cell>
        </row>
        <row r="900">
          <cell r="D900" t="str">
            <v>Buildings</v>
          </cell>
          <cell r="E900" t="str">
            <v>Terminal Domestic - Turbo Prop</v>
          </cell>
          <cell r="N900">
            <v>0</v>
          </cell>
        </row>
        <row r="901">
          <cell r="D901" t="str">
            <v>Buildings</v>
          </cell>
          <cell r="E901" t="str">
            <v>Terminal Domestic - Turbo Prop</v>
          </cell>
          <cell r="N901">
            <v>0</v>
          </cell>
        </row>
        <row r="902">
          <cell r="D902" t="str">
            <v>Buildings</v>
          </cell>
          <cell r="E902" t="str">
            <v>Terminal Domestic - Turbo Prop</v>
          </cell>
        </row>
        <row r="906">
          <cell r="D906" t="str">
            <v>Computers &amp; Furniture</v>
          </cell>
          <cell r="E906" t="str">
            <v>Terminal Domestic - Turbo Prop</v>
          </cell>
        </row>
        <row r="907">
          <cell r="D907" t="str">
            <v>Computers &amp; Furniture</v>
          </cell>
          <cell r="E907" t="str">
            <v>Terminal Domestic - Turbo Prop</v>
          </cell>
        </row>
        <row r="908">
          <cell r="D908" t="str">
            <v>Computers &amp; Furniture</v>
          </cell>
          <cell r="E908" t="str">
            <v>Terminal Domestic - Turbo Prop</v>
          </cell>
        </row>
        <row r="909">
          <cell r="D909" t="str">
            <v>Computers &amp; Furniture</v>
          </cell>
          <cell r="E909" t="str">
            <v>Terminal Domestic - Turbo Prop</v>
          </cell>
        </row>
        <row r="910">
          <cell r="D910" t="str">
            <v>Computers &amp; Furniture</v>
          </cell>
          <cell r="E910" t="str">
            <v>Terminal Domestic - Turbo Prop</v>
          </cell>
        </row>
        <row r="911">
          <cell r="D911" t="str">
            <v>Computers &amp; Furniture</v>
          </cell>
          <cell r="E911" t="str">
            <v>Terminal Domestic - Turbo Prop</v>
          </cell>
        </row>
        <row r="915">
          <cell r="D915" t="str">
            <v>Motor vehicles</v>
          </cell>
          <cell r="E915" t="str">
            <v>Terminal Domestic - Turbo Prop</v>
          </cell>
          <cell r="N915">
            <v>0</v>
          </cell>
        </row>
        <row r="916">
          <cell r="D916" t="str">
            <v>Motor vehicles</v>
          </cell>
          <cell r="E916" t="str">
            <v>Terminal Domestic - Turbo Prop</v>
          </cell>
          <cell r="N916">
            <v>0</v>
          </cell>
        </row>
        <row r="917">
          <cell r="D917" t="str">
            <v>Motor vehicles</v>
          </cell>
          <cell r="E917" t="str">
            <v>Terminal Domestic - Turbo Prop</v>
          </cell>
          <cell r="N917">
            <v>0</v>
          </cell>
        </row>
        <row r="918">
          <cell r="D918" t="str">
            <v>Motor vehicles</v>
          </cell>
          <cell r="E918" t="str">
            <v>Terminal Domestic - Turbo Prop</v>
          </cell>
          <cell r="N918">
            <v>0</v>
          </cell>
        </row>
        <row r="919">
          <cell r="D919" t="str">
            <v>Motor vehicles</v>
          </cell>
          <cell r="E919" t="str">
            <v>Terminal Domestic - Turbo Prop</v>
          </cell>
          <cell r="N919">
            <v>0</v>
          </cell>
        </row>
        <row r="920">
          <cell r="D920" t="str">
            <v>Motor vehicles</v>
          </cell>
          <cell r="E920" t="str">
            <v>Terminal Domestic - Turbo Prop</v>
          </cell>
        </row>
        <row r="924">
          <cell r="D924" t="str">
            <v>Plant &amp; equipment</v>
          </cell>
          <cell r="E924" t="str">
            <v>Terminal Domestic - Turbo Prop</v>
          </cell>
          <cell r="N924">
            <v>0</v>
          </cell>
        </row>
        <row r="925">
          <cell r="D925" t="str">
            <v>Plant &amp; equipment</v>
          </cell>
          <cell r="E925" t="str">
            <v>Terminal Domestic - Turbo Prop</v>
          </cell>
          <cell r="N925">
            <v>0</v>
          </cell>
        </row>
        <row r="926">
          <cell r="D926" t="str">
            <v>Plant &amp; equipment</v>
          </cell>
          <cell r="E926" t="str">
            <v>Terminal Domestic - Turbo Prop</v>
          </cell>
          <cell r="N926">
            <v>0</v>
          </cell>
        </row>
        <row r="927">
          <cell r="D927" t="str">
            <v>Plant &amp; equipment</v>
          </cell>
          <cell r="E927" t="str">
            <v>Terminal Domestic - Turbo Prop</v>
          </cell>
          <cell r="N927">
            <v>0</v>
          </cell>
        </row>
        <row r="928">
          <cell r="D928" t="str">
            <v>Plant &amp; equipment</v>
          </cell>
          <cell r="E928" t="str">
            <v>Terminal Domestic - Turbo Prop</v>
          </cell>
          <cell r="N928">
            <v>0</v>
          </cell>
        </row>
        <row r="929">
          <cell r="D929" t="str">
            <v>Plant &amp; equipment</v>
          </cell>
          <cell r="E929" t="str">
            <v>Terminal Domestic - Turbo Prop</v>
          </cell>
        </row>
        <row r="933">
          <cell r="D933" t="str">
            <v>Airfield Runway Apron Taxi</v>
          </cell>
          <cell r="E933" t="str">
            <v>Terminal Domestic - Turbo Prop</v>
          </cell>
          <cell r="N933">
            <v>0</v>
          </cell>
        </row>
        <row r="934">
          <cell r="D934" t="str">
            <v>Airfield Runway Apron Taxi</v>
          </cell>
          <cell r="E934" t="str">
            <v>Terminal Domestic - Turbo Prop</v>
          </cell>
          <cell r="N934">
            <v>0</v>
          </cell>
        </row>
        <row r="935">
          <cell r="D935" t="str">
            <v>Airfield Runway Apron Taxi</v>
          </cell>
          <cell r="E935" t="str">
            <v>Terminal Domestic - Turbo Prop</v>
          </cell>
          <cell r="N935">
            <v>0</v>
          </cell>
        </row>
        <row r="936">
          <cell r="D936" t="str">
            <v>Airfield Runway Apron Taxi</v>
          </cell>
          <cell r="E936" t="str">
            <v>Terminal Domestic - Turbo Prop</v>
          </cell>
          <cell r="N936">
            <v>0</v>
          </cell>
        </row>
        <row r="937">
          <cell r="D937" t="str">
            <v>Airfield Runway Apron Taxi</v>
          </cell>
          <cell r="E937" t="str">
            <v>Terminal Domestic - Turbo Prop</v>
          </cell>
          <cell r="N937">
            <v>0</v>
          </cell>
        </row>
        <row r="938">
          <cell r="D938" t="str">
            <v>Airfield Runway Apron Taxi</v>
          </cell>
          <cell r="E938" t="str">
            <v>Terminal Domestic - Turbo Prop</v>
          </cell>
        </row>
        <row r="942">
          <cell r="D942" t="str">
            <v>Infrastructure</v>
          </cell>
          <cell r="E942" t="str">
            <v>Terminal Domestic - Turbo Prop</v>
          </cell>
          <cell r="N942">
            <v>0</v>
          </cell>
        </row>
        <row r="943">
          <cell r="D943" t="str">
            <v>Infrastructure</v>
          </cell>
          <cell r="E943" t="str">
            <v>Terminal Domestic - Turbo Prop</v>
          </cell>
          <cell r="N943">
            <v>0</v>
          </cell>
        </row>
        <row r="944">
          <cell r="D944" t="str">
            <v>Infrastructure</v>
          </cell>
          <cell r="E944" t="str">
            <v>Terminal Domestic - Turbo Prop</v>
          </cell>
          <cell r="N944">
            <v>0</v>
          </cell>
        </row>
        <row r="945">
          <cell r="D945" t="str">
            <v>Infrastructure</v>
          </cell>
          <cell r="E945" t="str">
            <v>Terminal Domestic - Turbo Prop</v>
          </cell>
          <cell r="N945">
            <v>0</v>
          </cell>
        </row>
        <row r="946">
          <cell r="D946" t="str">
            <v>Infrastructure</v>
          </cell>
          <cell r="E946" t="str">
            <v>Terminal Domestic - Turbo Prop</v>
          </cell>
          <cell r="N946">
            <v>0</v>
          </cell>
        </row>
        <row r="947">
          <cell r="D947" t="str">
            <v>Infrastructure</v>
          </cell>
          <cell r="E947" t="str">
            <v>Terminal Domestic - Turbo Prop</v>
          </cell>
        </row>
        <row r="951">
          <cell r="D951" t="str">
            <v>Terminal facilities</v>
          </cell>
          <cell r="E951" t="str">
            <v>Terminal Domestic - Turbo Prop</v>
          </cell>
        </row>
        <row r="952">
          <cell r="D952" t="str">
            <v>Terminal facilities</v>
          </cell>
          <cell r="E952" t="str">
            <v>Terminal Domestic - Turbo Prop</v>
          </cell>
        </row>
        <row r="953">
          <cell r="D953" t="str">
            <v>Terminal facilities</v>
          </cell>
          <cell r="E953" t="str">
            <v>Terminal Domestic - Turbo Prop</v>
          </cell>
        </row>
        <row r="954">
          <cell r="D954" t="str">
            <v>Terminal facilities</v>
          </cell>
          <cell r="E954" t="str">
            <v>Terminal Domestic - Turbo Prop</v>
          </cell>
        </row>
        <row r="955">
          <cell r="D955" t="str">
            <v>Terminal facilities</v>
          </cell>
          <cell r="E955" t="str">
            <v>Terminal Domestic - Turbo Prop</v>
          </cell>
        </row>
        <row r="956">
          <cell r="D956" t="str">
            <v>Terminal facilities</v>
          </cell>
          <cell r="E956" t="str">
            <v>Terminal Domestic - Turbo Prop</v>
          </cell>
        </row>
        <row r="960">
          <cell r="D960" t="str">
            <v>Car parking</v>
          </cell>
          <cell r="E960" t="str">
            <v>Terminal Domestic - Turbo Prop</v>
          </cell>
          <cell r="N960">
            <v>0</v>
          </cell>
        </row>
        <row r="961">
          <cell r="D961" t="str">
            <v>Car parking</v>
          </cell>
          <cell r="E961" t="str">
            <v>Terminal Domestic - Turbo Prop</v>
          </cell>
          <cell r="N961">
            <v>0</v>
          </cell>
        </row>
        <row r="962">
          <cell r="D962" t="str">
            <v>Car parking</v>
          </cell>
          <cell r="E962" t="str">
            <v>Terminal Domestic - Turbo Prop</v>
          </cell>
          <cell r="N962">
            <v>0</v>
          </cell>
        </row>
        <row r="963">
          <cell r="D963" t="str">
            <v>Car parking</v>
          </cell>
          <cell r="E963" t="str">
            <v>Terminal Domestic - Turbo Prop</v>
          </cell>
          <cell r="N963">
            <v>0</v>
          </cell>
        </row>
        <row r="964">
          <cell r="D964" t="str">
            <v>Car parking</v>
          </cell>
          <cell r="E964" t="str">
            <v>Terminal Domestic - Turbo Prop</v>
          </cell>
          <cell r="N964">
            <v>0</v>
          </cell>
        </row>
        <row r="965">
          <cell r="D965" t="str">
            <v>Car parking</v>
          </cell>
          <cell r="E965" t="str">
            <v>Terminal Domestic - Turbo Prop</v>
          </cell>
        </row>
        <row r="969">
          <cell r="D969" t="str">
            <v>Software</v>
          </cell>
          <cell r="E969" t="str">
            <v>Terminal Domestic - Turbo Prop</v>
          </cell>
          <cell r="N969">
            <v>0</v>
          </cell>
        </row>
        <row r="970">
          <cell r="D970" t="str">
            <v>Software</v>
          </cell>
          <cell r="E970" t="str">
            <v>Terminal Domestic - Turbo Prop</v>
          </cell>
          <cell r="N970">
            <v>0</v>
          </cell>
        </row>
        <row r="971">
          <cell r="D971" t="str">
            <v>Software</v>
          </cell>
          <cell r="E971" t="str">
            <v>Terminal Domestic - Turbo Prop</v>
          </cell>
          <cell r="N971">
            <v>0</v>
          </cell>
        </row>
        <row r="972">
          <cell r="D972" t="str">
            <v>Software</v>
          </cell>
          <cell r="E972" t="str">
            <v>Terminal Domestic - Turbo Prop</v>
          </cell>
          <cell r="N972">
            <v>0</v>
          </cell>
        </row>
        <row r="973">
          <cell r="D973" t="str">
            <v>Software</v>
          </cell>
          <cell r="E973" t="str">
            <v>Terminal Domestic - Turbo Prop</v>
          </cell>
          <cell r="N973">
            <v>0</v>
          </cell>
        </row>
        <row r="974">
          <cell r="D974" t="str">
            <v>Software</v>
          </cell>
          <cell r="E974" t="str">
            <v>Terminal Domestic - Turbo Prop</v>
          </cell>
        </row>
        <row r="978">
          <cell r="D978" t="str">
            <v>[Blank FA 1]</v>
          </cell>
          <cell r="E978" t="str">
            <v>Terminal Domestic - Turbo Prop</v>
          </cell>
        </row>
        <row r="979">
          <cell r="D979" t="str">
            <v>[Blank FA 1]</v>
          </cell>
          <cell r="E979" t="str">
            <v>Terminal Domestic - Turbo Prop</v>
          </cell>
        </row>
        <row r="980">
          <cell r="D980" t="str">
            <v>[Blank FA 1]</v>
          </cell>
          <cell r="E980" t="str">
            <v>Terminal Domestic - Turbo Prop</v>
          </cell>
        </row>
        <row r="981">
          <cell r="D981" t="str">
            <v>[Blank FA 1]</v>
          </cell>
          <cell r="E981" t="str">
            <v>Terminal Domestic - Turbo Prop</v>
          </cell>
        </row>
        <row r="982">
          <cell r="D982" t="str">
            <v>[Blank FA 1]</v>
          </cell>
          <cell r="E982" t="str">
            <v>Terminal Domestic - Turbo Prop</v>
          </cell>
        </row>
        <row r="983">
          <cell r="D983" t="str">
            <v>[Blank FA 1]</v>
          </cell>
          <cell r="E983" t="str">
            <v>Terminal Domestic - Turbo Prop</v>
          </cell>
        </row>
        <row r="987">
          <cell r="D987" t="str">
            <v>[Blank FA 2]</v>
          </cell>
          <cell r="E987" t="str">
            <v>Terminal Domestic - Turbo Prop</v>
          </cell>
        </row>
        <row r="988">
          <cell r="D988" t="str">
            <v>[Blank FA 2]</v>
          </cell>
          <cell r="E988" t="str">
            <v>Terminal Domestic - Turbo Prop</v>
          </cell>
        </row>
        <row r="989">
          <cell r="D989" t="str">
            <v>[Blank FA 2]</v>
          </cell>
          <cell r="E989" t="str">
            <v>Terminal Domestic - Turbo Prop</v>
          </cell>
        </row>
        <row r="990">
          <cell r="D990" t="str">
            <v>[Blank FA 2]</v>
          </cell>
          <cell r="E990" t="str">
            <v>Terminal Domestic - Turbo Prop</v>
          </cell>
        </row>
        <row r="991">
          <cell r="D991" t="str">
            <v>[Blank FA 2]</v>
          </cell>
          <cell r="E991" t="str">
            <v>Terminal Domestic - Turbo Prop</v>
          </cell>
        </row>
        <row r="992">
          <cell r="D992" t="str">
            <v>[Blank FA 2]</v>
          </cell>
          <cell r="E992" t="str">
            <v>Terminal Domestic - Turbo Prop</v>
          </cell>
        </row>
        <row r="996">
          <cell r="D996" t="str">
            <v>[Blank FA 3]</v>
          </cell>
          <cell r="E996" t="str">
            <v>Terminal Domestic - Turbo Prop</v>
          </cell>
        </row>
        <row r="997">
          <cell r="D997" t="str">
            <v>[Blank FA 3]</v>
          </cell>
          <cell r="E997" t="str">
            <v>Terminal Domestic - Turbo Prop</v>
          </cell>
        </row>
        <row r="998">
          <cell r="D998" t="str">
            <v>[Blank FA 3]</v>
          </cell>
          <cell r="E998" t="str">
            <v>Terminal Domestic - Turbo Prop</v>
          </cell>
        </row>
        <row r="999">
          <cell r="D999" t="str">
            <v>[Blank FA 3]</v>
          </cell>
          <cell r="E999" t="str">
            <v>Terminal Domestic - Turbo Prop</v>
          </cell>
        </row>
        <row r="1000">
          <cell r="D1000" t="str">
            <v>[Blank FA 3]</v>
          </cell>
          <cell r="E1000" t="str">
            <v>Terminal Domestic - Turbo Prop</v>
          </cell>
        </row>
        <row r="1001">
          <cell r="D1001" t="str">
            <v>[Blank FA 3]</v>
          </cell>
          <cell r="E1001" t="str">
            <v>Terminal Domestic - Turbo Prop</v>
          </cell>
        </row>
        <row r="1010">
          <cell r="D1010" t="str">
            <v>Land</v>
          </cell>
          <cell r="E1010" t="str">
            <v>Commercial - Terminal</v>
          </cell>
        </row>
        <row r="1011">
          <cell r="D1011" t="str">
            <v>Land</v>
          </cell>
          <cell r="E1011" t="str">
            <v>Commercial - Terminal</v>
          </cell>
        </row>
        <row r="1012">
          <cell r="D1012" t="str">
            <v>Land</v>
          </cell>
          <cell r="E1012" t="str">
            <v>Commercial - Terminal</v>
          </cell>
        </row>
        <row r="1013">
          <cell r="D1013" t="str">
            <v>Land</v>
          </cell>
          <cell r="E1013" t="str">
            <v>Commercial - Terminal</v>
          </cell>
        </row>
        <row r="1014">
          <cell r="D1014" t="str">
            <v>Land</v>
          </cell>
          <cell r="E1014" t="str">
            <v>Commercial - Terminal</v>
          </cell>
        </row>
        <row r="1015">
          <cell r="D1015" t="str">
            <v>Land</v>
          </cell>
          <cell r="E1015" t="str">
            <v>Commercial - Terminal</v>
          </cell>
        </row>
        <row r="1019">
          <cell r="D1019" t="str">
            <v>Buildings</v>
          </cell>
          <cell r="E1019" t="str">
            <v>Commercial - Terminal</v>
          </cell>
        </row>
        <row r="1020">
          <cell r="D1020" t="str">
            <v>Buildings</v>
          </cell>
          <cell r="E1020" t="str">
            <v>Commercial - Terminal</v>
          </cell>
        </row>
        <row r="1021">
          <cell r="D1021" t="str">
            <v>Buildings</v>
          </cell>
          <cell r="E1021" t="str">
            <v>Commercial - Terminal</v>
          </cell>
        </row>
        <row r="1022">
          <cell r="D1022" t="str">
            <v>Buildings</v>
          </cell>
          <cell r="E1022" t="str">
            <v>Commercial - Terminal</v>
          </cell>
        </row>
        <row r="1023">
          <cell r="D1023" t="str">
            <v>Buildings</v>
          </cell>
          <cell r="E1023" t="str">
            <v>Commercial - Terminal</v>
          </cell>
        </row>
        <row r="1024">
          <cell r="D1024" t="str">
            <v>Buildings</v>
          </cell>
          <cell r="E1024" t="str">
            <v>Commercial - Terminal</v>
          </cell>
        </row>
        <row r="1028">
          <cell r="D1028" t="str">
            <v>Computers &amp; Furniture</v>
          </cell>
          <cell r="E1028" t="str">
            <v>Commercial - Terminal</v>
          </cell>
        </row>
        <row r="1029">
          <cell r="D1029" t="str">
            <v>Computers &amp; Furniture</v>
          </cell>
          <cell r="E1029" t="str">
            <v>Commercial - Terminal</v>
          </cell>
        </row>
        <row r="1030">
          <cell r="D1030" t="str">
            <v>Computers &amp; Furniture</v>
          </cell>
          <cell r="E1030" t="str">
            <v>Commercial - Terminal</v>
          </cell>
        </row>
        <row r="1031">
          <cell r="D1031" t="str">
            <v>Computers &amp; Furniture</v>
          </cell>
          <cell r="E1031" t="str">
            <v>Commercial - Terminal</v>
          </cell>
        </row>
        <row r="1032">
          <cell r="D1032" t="str">
            <v>Computers &amp; Furniture</v>
          </cell>
          <cell r="E1032" t="str">
            <v>Commercial - Terminal</v>
          </cell>
        </row>
        <row r="1033">
          <cell r="D1033" t="str">
            <v>Computers &amp; Furniture</v>
          </cell>
          <cell r="E1033" t="str">
            <v>Commercial - Terminal</v>
          </cell>
        </row>
        <row r="1037">
          <cell r="D1037" t="str">
            <v>Motor vehicles</v>
          </cell>
          <cell r="E1037" t="str">
            <v>Commercial - Terminal</v>
          </cell>
        </row>
        <row r="1038">
          <cell r="D1038" t="str">
            <v>Motor vehicles</v>
          </cell>
          <cell r="E1038" t="str">
            <v>Commercial - Terminal</v>
          </cell>
        </row>
        <row r="1039">
          <cell r="D1039" t="str">
            <v>Motor vehicles</v>
          </cell>
          <cell r="E1039" t="str">
            <v>Commercial - Terminal</v>
          </cell>
        </row>
        <row r="1040">
          <cell r="D1040" t="str">
            <v>Motor vehicles</v>
          </cell>
          <cell r="E1040" t="str">
            <v>Commercial - Terminal</v>
          </cell>
        </row>
        <row r="1041">
          <cell r="D1041" t="str">
            <v>Motor vehicles</v>
          </cell>
          <cell r="E1041" t="str">
            <v>Commercial - Terminal</v>
          </cell>
        </row>
        <row r="1042">
          <cell r="D1042" t="str">
            <v>Motor vehicles</v>
          </cell>
          <cell r="E1042" t="str">
            <v>Commercial - Terminal</v>
          </cell>
        </row>
        <row r="1046">
          <cell r="D1046" t="str">
            <v>Plant &amp; equipment</v>
          </cell>
          <cell r="E1046" t="str">
            <v>Commercial - Terminal</v>
          </cell>
        </row>
        <row r="1047">
          <cell r="D1047" t="str">
            <v>Plant &amp; equipment</v>
          </cell>
          <cell r="E1047" t="str">
            <v>Commercial - Terminal</v>
          </cell>
        </row>
        <row r="1048">
          <cell r="D1048" t="str">
            <v>Plant &amp; equipment</v>
          </cell>
          <cell r="E1048" t="str">
            <v>Commercial - Terminal</v>
          </cell>
        </row>
        <row r="1049">
          <cell r="D1049" t="str">
            <v>Plant &amp; equipment</v>
          </cell>
          <cell r="E1049" t="str">
            <v>Commercial - Terminal</v>
          </cell>
        </row>
        <row r="1050">
          <cell r="D1050" t="str">
            <v>Plant &amp; equipment</v>
          </cell>
          <cell r="E1050" t="str">
            <v>Commercial - Terminal</v>
          </cell>
        </row>
        <row r="1051">
          <cell r="D1051" t="str">
            <v>Plant &amp; equipment</v>
          </cell>
          <cell r="E1051" t="str">
            <v>Commercial - Terminal</v>
          </cell>
        </row>
        <row r="1055">
          <cell r="D1055" t="str">
            <v>Airfield Runway Apron Taxi</v>
          </cell>
          <cell r="E1055" t="str">
            <v>Commercial - Terminal</v>
          </cell>
        </row>
        <row r="1056">
          <cell r="D1056" t="str">
            <v>Airfield Runway Apron Taxi</v>
          </cell>
          <cell r="E1056" t="str">
            <v>Commercial - Terminal</v>
          </cell>
        </row>
        <row r="1057">
          <cell r="D1057" t="str">
            <v>Airfield Runway Apron Taxi</v>
          </cell>
          <cell r="E1057" t="str">
            <v>Commercial - Terminal</v>
          </cell>
        </row>
        <row r="1058">
          <cell r="D1058" t="str">
            <v>Airfield Runway Apron Taxi</v>
          </cell>
          <cell r="E1058" t="str">
            <v>Commercial - Terminal</v>
          </cell>
        </row>
        <row r="1059">
          <cell r="D1059" t="str">
            <v>Airfield Runway Apron Taxi</v>
          </cell>
          <cell r="E1059" t="str">
            <v>Commercial - Terminal</v>
          </cell>
        </row>
        <row r="1060">
          <cell r="D1060" t="str">
            <v>Airfield Runway Apron Taxi</v>
          </cell>
          <cell r="E1060" t="str">
            <v>Commercial - Terminal</v>
          </cell>
        </row>
        <row r="1064">
          <cell r="D1064" t="str">
            <v>Infrastructure</v>
          </cell>
          <cell r="E1064" t="str">
            <v>Commercial - Terminal</v>
          </cell>
        </row>
        <row r="1065">
          <cell r="D1065" t="str">
            <v>Infrastructure</v>
          </cell>
          <cell r="E1065" t="str">
            <v>Commercial - Terminal</v>
          </cell>
        </row>
        <row r="1066">
          <cell r="D1066" t="str">
            <v>Infrastructure</v>
          </cell>
          <cell r="E1066" t="str">
            <v>Commercial - Terminal</v>
          </cell>
        </row>
        <row r="1067">
          <cell r="D1067" t="str">
            <v>Infrastructure</v>
          </cell>
          <cell r="E1067" t="str">
            <v>Commercial - Terminal</v>
          </cell>
        </row>
        <row r="1068">
          <cell r="D1068" t="str">
            <v>Infrastructure</v>
          </cell>
          <cell r="E1068" t="str">
            <v>Commercial - Terminal</v>
          </cell>
        </row>
        <row r="1069">
          <cell r="D1069" t="str">
            <v>Infrastructure</v>
          </cell>
          <cell r="E1069" t="str">
            <v>Commercial - Terminal</v>
          </cell>
        </row>
        <row r="1073">
          <cell r="D1073" t="str">
            <v>Terminal facilities</v>
          </cell>
          <cell r="E1073" t="str">
            <v>Commercial - Terminal</v>
          </cell>
        </row>
        <row r="1074">
          <cell r="D1074" t="str">
            <v>Terminal facilities</v>
          </cell>
          <cell r="E1074" t="str">
            <v>Commercial - Terminal</v>
          </cell>
        </row>
        <row r="1075">
          <cell r="D1075" t="str">
            <v>Terminal facilities</v>
          </cell>
          <cell r="E1075" t="str">
            <v>Commercial - Terminal</v>
          </cell>
        </row>
        <row r="1076">
          <cell r="D1076" t="str">
            <v>Terminal facilities</v>
          </cell>
          <cell r="E1076" t="str">
            <v>Commercial - Terminal</v>
          </cell>
        </row>
        <row r="1077">
          <cell r="D1077" t="str">
            <v>Terminal facilities</v>
          </cell>
          <cell r="E1077" t="str">
            <v>Commercial - Terminal</v>
          </cell>
        </row>
        <row r="1078">
          <cell r="D1078" t="str">
            <v>Terminal facilities</v>
          </cell>
          <cell r="E1078" t="str">
            <v>Commercial - Terminal</v>
          </cell>
        </row>
        <row r="1082">
          <cell r="D1082" t="str">
            <v>Car parking</v>
          </cell>
          <cell r="E1082" t="str">
            <v>Commercial - Terminal</v>
          </cell>
        </row>
        <row r="1083">
          <cell r="D1083" t="str">
            <v>Car parking</v>
          </cell>
          <cell r="E1083" t="str">
            <v>Commercial - Terminal</v>
          </cell>
        </row>
        <row r="1084">
          <cell r="D1084" t="str">
            <v>Car parking</v>
          </cell>
          <cell r="E1084" t="str">
            <v>Commercial - Terminal</v>
          </cell>
        </row>
        <row r="1085">
          <cell r="D1085" t="str">
            <v>Car parking</v>
          </cell>
          <cell r="E1085" t="str">
            <v>Commercial - Terminal</v>
          </cell>
        </row>
        <row r="1086">
          <cell r="D1086" t="str">
            <v>Car parking</v>
          </cell>
          <cell r="E1086" t="str">
            <v>Commercial - Terminal</v>
          </cell>
        </row>
        <row r="1087">
          <cell r="D1087" t="str">
            <v>Car parking</v>
          </cell>
          <cell r="E1087" t="str">
            <v>Commercial - Terminal</v>
          </cell>
        </row>
        <row r="1091">
          <cell r="D1091" t="str">
            <v>Software</v>
          </cell>
          <cell r="E1091" t="str">
            <v>Commercial - Terminal</v>
          </cell>
        </row>
        <row r="1092">
          <cell r="D1092" t="str">
            <v>Software</v>
          </cell>
          <cell r="E1092" t="str">
            <v>Commercial - Terminal</v>
          </cell>
        </row>
        <row r="1093">
          <cell r="D1093" t="str">
            <v>Software</v>
          </cell>
          <cell r="E1093" t="str">
            <v>Commercial - Terminal</v>
          </cell>
        </row>
        <row r="1094">
          <cell r="D1094" t="str">
            <v>Software</v>
          </cell>
          <cell r="E1094" t="str">
            <v>Commercial - Terminal</v>
          </cell>
        </row>
        <row r="1095">
          <cell r="D1095" t="str">
            <v>Software</v>
          </cell>
          <cell r="E1095" t="str">
            <v>Commercial - Terminal</v>
          </cell>
        </row>
        <row r="1096">
          <cell r="D1096" t="str">
            <v>Software</v>
          </cell>
          <cell r="E1096" t="str">
            <v>Commercial - Terminal</v>
          </cell>
        </row>
        <row r="1100">
          <cell r="D1100" t="str">
            <v>[Blank FA 1]</v>
          </cell>
          <cell r="E1100" t="str">
            <v>Commercial - Terminal</v>
          </cell>
        </row>
        <row r="1101">
          <cell r="D1101" t="str">
            <v>[Blank FA 1]</v>
          </cell>
          <cell r="E1101" t="str">
            <v>Commercial - Terminal</v>
          </cell>
        </row>
        <row r="1102">
          <cell r="D1102" t="str">
            <v>[Blank FA 1]</v>
          </cell>
          <cell r="E1102" t="str">
            <v>Commercial - Terminal</v>
          </cell>
        </row>
        <row r="1103">
          <cell r="D1103" t="str">
            <v>[Blank FA 1]</v>
          </cell>
          <cell r="E1103" t="str">
            <v>Commercial - Terminal</v>
          </cell>
        </row>
        <row r="1104">
          <cell r="D1104" t="str">
            <v>[Blank FA 1]</v>
          </cell>
          <cell r="E1104" t="str">
            <v>Commercial - Terminal</v>
          </cell>
        </row>
        <row r="1105">
          <cell r="D1105" t="str">
            <v>[Blank FA 1]</v>
          </cell>
          <cell r="E1105" t="str">
            <v>Commercial - Terminal</v>
          </cell>
        </row>
        <row r="1109">
          <cell r="D1109" t="str">
            <v>[Blank FA 2]</v>
          </cell>
          <cell r="E1109" t="str">
            <v>Commercial - Terminal</v>
          </cell>
        </row>
        <row r="1110">
          <cell r="D1110" t="str">
            <v>[Blank FA 2]</v>
          </cell>
          <cell r="E1110" t="str">
            <v>Commercial - Terminal</v>
          </cell>
        </row>
        <row r="1111">
          <cell r="D1111" t="str">
            <v>[Blank FA 2]</v>
          </cell>
          <cell r="E1111" t="str">
            <v>Commercial - Terminal</v>
          </cell>
        </row>
        <row r="1112">
          <cell r="D1112" t="str">
            <v>[Blank FA 2]</v>
          </cell>
          <cell r="E1112" t="str">
            <v>Commercial - Terminal</v>
          </cell>
        </row>
        <row r="1113">
          <cell r="D1113" t="str">
            <v>[Blank FA 2]</v>
          </cell>
          <cell r="E1113" t="str">
            <v>Commercial - Terminal</v>
          </cell>
        </row>
        <row r="1114">
          <cell r="D1114" t="str">
            <v>[Blank FA 2]</v>
          </cell>
          <cell r="E1114" t="str">
            <v>Commercial - Terminal</v>
          </cell>
        </row>
        <row r="1118">
          <cell r="D1118" t="str">
            <v>[Blank FA 3]</v>
          </cell>
          <cell r="E1118" t="str">
            <v>Commercial - Terminal</v>
          </cell>
        </row>
        <row r="1119">
          <cell r="D1119" t="str">
            <v>[Blank FA 3]</v>
          </cell>
          <cell r="E1119" t="str">
            <v>Commercial - Terminal</v>
          </cell>
        </row>
        <row r="1120">
          <cell r="D1120" t="str">
            <v>[Blank FA 3]</v>
          </cell>
          <cell r="E1120" t="str">
            <v>Commercial - Terminal</v>
          </cell>
        </row>
        <row r="1121">
          <cell r="D1121" t="str">
            <v>[Blank FA 3]</v>
          </cell>
          <cell r="E1121" t="str">
            <v>Commercial - Terminal</v>
          </cell>
        </row>
        <row r="1122">
          <cell r="D1122" t="str">
            <v>[Blank FA 3]</v>
          </cell>
          <cell r="E1122" t="str">
            <v>Commercial - Terminal</v>
          </cell>
        </row>
        <row r="1123">
          <cell r="D1123" t="str">
            <v>[Blank FA 3]</v>
          </cell>
          <cell r="E1123" t="str">
            <v>Commercial - Terminal</v>
          </cell>
        </row>
        <row r="1132">
          <cell r="D1132" t="str">
            <v>Land</v>
          </cell>
          <cell r="E1132" t="str">
            <v>Commercial - Terminal</v>
          </cell>
        </row>
        <row r="1133">
          <cell r="D1133" t="str">
            <v>Land</v>
          </cell>
          <cell r="E1133" t="str">
            <v>Commercial - Terminal</v>
          </cell>
        </row>
        <row r="1134">
          <cell r="D1134" t="str">
            <v>Land</v>
          </cell>
          <cell r="E1134" t="str">
            <v>Commercial - Terminal</v>
          </cell>
        </row>
        <row r="1135">
          <cell r="D1135" t="str">
            <v>Land</v>
          </cell>
          <cell r="E1135" t="str">
            <v>Commercial - Terminal</v>
          </cell>
        </row>
        <row r="1136">
          <cell r="D1136" t="str">
            <v>Land</v>
          </cell>
          <cell r="E1136" t="str">
            <v>Commercial - Terminal</v>
          </cell>
        </row>
        <row r="1137">
          <cell r="D1137" t="str">
            <v>Land</v>
          </cell>
          <cell r="E1137" t="str">
            <v>Commercial - Terminal</v>
          </cell>
        </row>
        <row r="1141">
          <cell r="D1141" t="str">
            <v>Buildings</v>
          </cell>
          <cell r="E1141" t="str">
            <v>Commercial - Terminal</v>
          </cell>
        </row>
        <row r="1142">
          <cell r="D1142" t="str">
            <v>Buildings</v>
          </cell>
          <cell r="E1142" t="str">
            <v>Commercial - Terminal</v>
          </cell>
        </row>
        <row r="1143">
          <cell r="D1143" t="str">
            <v>Buildings</v>
          </cell>
          <cell r="E1143" t="str">
            <v>Commercial - Terminal</v>
          </cell>
        </row>
        <row r="1144">
          <cell r="D1144" t="str">
            <v>Buildings</v>
          </cell>
          <cell r="E1144" t="str">
            <v>Commercial - Terminal</v>
          </cell>
        </row>
        <row r="1145">
          <cell r="D1145" t="str">
            <v>Buildings</v>
          </cell>
          <cell r="E1145" t="str">
            <v>Commercial - Terminal</v>
          </cell>
        </row>
        <row r="1146">
          <cell r="D1146" t="str">
            <v>Buildings</v>
          </cell>
          <cell r="E1146" t="str">
            <v>Commercial - Terminal</v>
          </cell>
        </row>
        <row r="1150">
          <cell r="D1150" t="str">
            <v>Computers &amp; Furniture</v>
          </cell>
          <cell r="E1150" t="str">
            <v>Commercial - Terminal</v>
          </cell>
        </row>
        <row r="1151">
          <cell r="D1151" t="str">
            <v>Computers &amp; Furniture</v>
          </cell>
          <cell r="E1151" t="str">
            <v>Commercial - Terminal</v>
          </cell>
        </row>
        <row r="1152">
          <cell r="D1152" t="str">
            <v>Computers &amp; Furniture</v>
          </cell>
          <cell r="E1152" t="str">
            <v>Commercial - Terminal</v>
          </cell>
        </row>
        <row r="1153">
          <cell r="D1153" t="str">
            <v>Computers &amp; Furniture</v>
          </cell>
          <cell r="E1153" t="str">
            <v>Commercial - Terminal</v>
          </cell>
        </row>
        <row r="1154">
          <cell r="D1154" t="str">
            <v>Computers &amp; Furniture</v>
          </cell>
          <cell r="E1154" t="str">
            <v>Commercial - Terminal</v>
          </cell>
        </row>
        <row r="1155">
          <cell r="D1155" t="str">
            <v>Computers &amp; Furniture</v>
          </cell>
          <cell r="E1155" t="str">
            <v>Commercial - Terminal</v>
          </cell>
        </row>
        <row r="1159">
          <cell r="D1159" t="str">
            <v>Motor vehicles</v>
          </cell>
          <cell r="E1159" t="str">
            <v>Commercial - Terminal</v>
          </cell>
        </row>
        <row r="1160">
          <cell r="D1160" t="str">
            <v>Motor vehicles</v>
          </cell>
          <cell r="E1160" t="str">
            <v>Commercial - Terminal</v>
          </cell>
        </row>
        <row r="1161">
          <cell r="D1161" t="str">
            <v>Motor vehicles</v>
          </cell>
          <cell r="E1161" t="str">
            <v>Commercial - Terminal</v>
          </cell>
        </row>
        <row r="1162">
          <cell r="D1162" t="str">
            <v>Motor vehicles</v>
          </cell>
          <cell r="E1162" t="str">
            <v>Commercial - Terminal</v>
          </cell>
        </row>
        <row r="1163">
          <cell r="D1163" t="str">
            <v>Motor vehicles</v>
          </cell>
          <cell r="E1163" t="str">
            <v>Commercial - Terminal</v>
          </cell>
        </row>
        <row r="1164">
          <cell r="D1164" t="str">
            <v>Motor vehicles</v>
          </cell>
          <cell r="E1164" t="str">
            <v>Commercial - Terminal</v>
          </cell>
        </row>
        <row r="1168">
          <cell r="D1168" t="str">
            <v>Plant &amp; equipment</v>
          </cell>
          <cell r="E1168" t="str">
            <v>Commercial - Terminal</v>
          </cell>
        </row>
        <row r="1169">
          <cell r="D1169" t="str">
            <v>Plant &amp; equipment</v>
          </cell>
          <cell r="E1169" t="str">
            <v>Commercial - Terminal</v>
          </cell>
        </row>
        <row r="1170">
          <cell r="D1170" t="str">
            <v>Plant &amp; equipment</v>
          </cell>
          <cell r="E1170" t="str">
            <v>Commercial - Terminal</v>
          </cell>
        </row>
        <row r="1171">
          <cell r="D1171" t="str">
            <v>Plant &amp; equipment</v>
          </cell>
          <cell r="E1171" t="str">
            <v>Commercial - Terminal</v>
          </cell>
        </row>
        <row r="1172">
          <cell r="D1172" t="str">
            <v>Plant &amp; equipment</v>
          </cell>
          <cell r="E1172" t="str">
            <v>Commercial - Terminal</v>
          </cell>
        </row>
        <row r="1173">
          <cell r="D1173" t="str">
            <v>Plant &amp; equipment</v>
          </cell>
          <cell r="E1173" t="str">
            <v>Commercial - Terminal</v>
          </cell>
        </row>
        <row r="1177">
          <cell r="D1177" t="str">
            <v>Airfield Runway Apron Taxi</v>
          </cell>
          <cell r="E1177" t="str">
            <v>Commercial - Terminal</v>
          </cell>
        </row>
        <row r="1178">
          <cell r="D1178" t="str">
            <v>Airfield Runway Apron Taxi</v>
          </cell>
          <cell r="E1178" t="str">
            <v>Commercial - Terminal</v>
          </cell>
        </row>
        <row r="1179">
          <cell r="D1179" t="str">
            <v>Airfield Runway Apron Taxi</v>
          </cell>
          <cell r="E1179" t="str">
            <v>Commercial - Terminal</v>
          </cell>
        </row>
        <row r="1180">
          <cell r="D1180" t="str">
            <v>Airfield Runway Apron Taxi</v>
          </cell>
          <cell r="E1180" t="str">
            <v>Commercial - Terminal</v>
          </cell>
        </row>
        <row r="1181">
          <cell r="D1181" t="str">
            <v>Airfield Runway Apron Taxi</v>
          </cell>
          <cell r="E1181" t="str">
            <v>Commercial - Terminal</v>
          </cell>
        </row>
        <row r="1182">
          <cell r="D1182" t="str">
            <v>Airfield Runway Apron Taxi</v>
          </cell>
          <cell r="E1182" t="str">
            <v>Commercial - Terminal</v>
          </cell>
        </row>
        <row r="1186">
          <cell r="D1186" t="str">
            <v>Infrastructure</v>
          </cell>
          <cell r="E1186" t="str">
            <v>Commercial - Terminal</v>
          </cell>
        </row>
        <row r="1187">
          <cell r="D1187" t="str">
            <v>Infrastructure</v>
          </cell>
          <cell r="E1187" t="str">
            <v>Commercial - Terminal</v>
          </cell>
        </row>
        <row r="1188">
          <cell r="D1188" t="str">
            <v>Infrastructure</v>
          </cell>
          <cell r="E1188" t="str">
            <v>Commercial - Terminal</v>
          </cell>
        </row>
        <row r="1189">
          <cell r="D1189" t="str">
            <v>Infrastructure</v>
          </cell>
          <cell r="E1189" t="str">
            <v>Commercial - Terminal</v>
          </cell>
        </row>
        <row r="1190">
          <cell r="D1190" t="str">
            <v>Infrastructure</v>
          </cell>
          <cell r="E1190" t="str">
            <v>Commercial - Terminal</v>
          </cell>
        </row>
        <row r="1191">
          <cell r="D1191" t="str">
            <v>Infrastructure</v>
          </cell>
          <cell r="E1191" t="str">
            <v>Commercial - Terminal</v>
          </cell>
        </row>
        <row r="1195">
          <cell r="D1195" t="str">
            <v>Terminal facilities</v>
          </cell>
          <cell r="E1195" t="str">
            <v>Commercial - Terminal</v>
          </cell>
        </row>
        <row r="1196">
          <cell r="D1196" t="str">
            <v>Terminal facilities</v>
          </cell>
          <cell r="E1196" t="str">
            <v>Commercial - Terminal</v>
          </cell>
        </row>
        <row r="1197">
          <cell r="D1197" t="str">
            <v>Terminal facilities</v>
          </cell>
          <cell r="E1197" t="str">
            <v>Commercial - Terminal</v>
          </cell>
        </row>
        <row r="1198">
          <cell r="D1198" t="str">
            <v>Terminal facilities</v>
          </cell>
          <cell r="E1198" t="str">
            <v>Commercial - Terminal</v>
          </cell>
        </row>
        <row r="1199">
          <cell r="D1199" t="str">
            <v>Terminal facilities</v>
          </cell>
          <cell r="E1199" t="str">
            <v>Commercial - Terminal</v>
          </cell>
        </row>
        <row r="1200">
          <cell r="D1200" t="str">
            <v>Terminal facilities</v>
          </cell>
          <cell r="E1200" t="str">
            <v>Commercial - Terminal</v>
          </cell>
        </row>
        <row r="1204">
          <cell r="D1204" t="str">
            <v>Car parking</v>
          </cell>
          <cell r="E1204" t="str">
            <v>Commercial - Terminal</v>
          </cell>
        </row>
        <row r="1205">
          <cell r="D1205" t="str">
            <v>Car parking</v>
          </cell>
          <cell r="E1205" t="str">
            <v>Commercial - Terminal</v>
          </cell>
        </row>
        <row r="1206">
          <cell r="D1206" t="str">
            <v>Car parking</v>
          </cell>
          <cell r="E1206" t="str">
            <v>Commercial - Terminal</v>
          </cell>
        </row>
        <row r="1207">
          <cell r="D1207" t="str">
            <v>Car parking</v>
          </cell>
          <cell r="E1207" t="str">
            <v>Commercial - Terminal</v>
          </cell>
        </row>
        <row r="1208">
          <cell r="D1208" t="str">
            <v>Car parking</v>
          </cell>
          <cell r="E1208" t="str">
            <v>Commercial - Terminal</v>
          </cell>
        </row>
        <row r="1209">
          <cell r="D1209" t="str">
            <v>Car parking</v>
          </cell>
          <cell r="E1209" t="str">
            <v>Commercial - Terminal</v>
          </cell>
        </row>
        <row r="1213">
          <cell r="D1213" t="str">
            <v>Software</v>
          </cell>
          <cell r="E1213" t="str">
            <v>Commercial - Terminal</v>
          </cell>
        </row>
        <row r="1214">
          <cell r="D1214" t="str">
            <v>Software</v>
          </cell>
          <cell r="E1214" t="str">
            <v>Commercial - Terminal</v>
          </cell>
        </row>
        <row r="1215">
          <cell r="D1215" t="str">
            <v>Software</v>
          </cell>
          <cell r="E1215" t="str">
            <v>Commercial - Terminal</v>
          </cell>
        </row>
        <row r="1216">
          <cell r="D1216" t="str">
            <v>Software</v>
          </cell>
          <cell r="E1216" t="str">
            <v>Commercial - Terminal</v>
          </cell>
        </row>
        <row r="1217">
          <cell r="D1217" t="str">
            <v>Software</v>
          </cell>
          <cell r="E1217" t="str">
            <v>Commercial - Terminal</v>
          </cell>
        </row>
        <row r="1218">
          <cell r="D1218" t="str">
            <v>Software</v>
          </cell>
          <cell r="E1218" t="str">
            <v>Commercial - Terminal</v>
          </cell>
        </row>
        <row r="1222">
          <cell r="D1222" t="str">
            <v>[Blank FA 1]</v>
          </cell>
          <cell r="E1222" t="str">
            <v>Commercial - Terminal</v>
          </cell>
        </row>
        <row r="1223">
          <cell r="D1223" t="str">
            <v>[Blank FA 1]</v>
          </cell>
          <cell r="E1223" t="str">
            <v>Commercial - Terminal</v>
          </cell>
        </row>
        <row r="1224">
          <cell r="D1224" t="str">
            <v>[Blank FA 1]</v>
          </cell>
          <cell r="E1224" t="str">
            <v>Commercial - Terminal</v>
          </cell>
        </row>
        <row r="1225">
          <cell r="D1225" t="str">
            <v>[Blank FA 1]</v>
          </cell>
          <cell r="E1225" t="str">
            <v>Commercial - Terminal</v>
          </cell>
        </row>
        <row r="1226">
          <cell r="D1226" t="str">
            <v>[Blank FA 1]</v>
          </cell>
          <cell r="E1226" t="str">
            <v>Commercial - Terminal</v>
          </cell>
        </row>
        <row r="1227">
          <cell r="D1227" t="str">
            <v>[Blank FA 1]</v>
          </cell>
          <cell r="E1227" t="str">
            <v>Commercial - Terminal</v>
          </cell>
        </row>
        <row r="1231">
          <cell r="D1231" t="str">
            <v>[Blank FA 2]</v>
          </cell>
          <cell r="E1231" t="str">
            <v>Commercial - Terminal</v>
          </cell>
        </row>
        <row r="1232">
          <cell r="D1232" t="str">
            <v>[Blank FA 2]</v>
          </cell>
          <cell r="E1232" t="str">
            <v>Commercial - Terminal</v>
          </cell>
        </row>
        <row r="1233">
          <cell r="D1233" t="str">
            <v>[Blank FA 2]</v>
          </cell>
          <cell r="E1233" t="str">
            <v>Commercial - Terminal</v>
          </cell>
        </row>
        <row r="1234">
          <cell r="D1234" t="str">
            <v>[Blank FA 2]</v>
          </cell>
          <cell r="E1234" t="str">
            <v>Commercial - Terminal</v>
          </cell>
        </row>
        <row r="1235">
          <cell r="D1235" t="str">
            <v>[Blank FA 2]</v>
          </cell>
          <cell r="E1235" t="str">
            <v>Commercial - Terminal</v>
          </cell>
        </row>
        <row r="1236">
          <cell r="D1236" t="str">
            <v>[Blank FA 2]</v>
          </cell>
          <cell r="E1236" t="str">
            <v>Commercial - Terminal</v>
          </cell>
        </row>
        <row r="1240">
          <cell r="D1240" t="str">
            <v>[Blank FA 3]</v>
          </cell>
          <cell r="E1240" t="str">
            <v>Commercial - Terminal</v>
          </cell>
        </row>
        <row r="1241">
          <cell r="D1241" t="str">
            <v>[Blank FA 3]</v>
          </cell>
          <cell r="E1241" t="str">
            <v>Commercial - Terminal</v>
          </cell>
        </row>
        <row r="1242">
          <cell r="D1242" t="str">
            <v>[Blank FA 3]</v>
          </cell>
          <cell r="E1242" t="str">
            <v>Commercial - Terminal</v>
          </cell>
        </row>
        <row r="1243">
          <cell r="D1243" t="str">
            <v>[Blank FA 3]</v>
          </cell>
          <cell r="E1243" t="str">
            <v>Commercial - Terminal</v>
          </cell>
        </row>
        <row r="1244">
          <cell r="D1244" t="str">
            <v>[Blank FA 3]</v>
          </cell>
          <cell r="E1244" t="str">
            <v>Commercial - Terminal</v>
          </cell>
        </row>
        <row r="1245">
          <cell r="D1245" t="str">
            <v>[Blank FA 3]</v>
          </cell>
          <cell r="E1245" t="str">
            <v>Commercial - Terminal</v>
          </cell>
        </row>
        <row r="1254">
          <cell r="D1254" t="str">
            <v>Land</v>
          </cell>
          <cell r="E1254" t="str">
            <v>Common Use Check-in-counter</v>
          </cell>
        </row>
        <row r="1255">
          <cell r="D1255" t="str">
            <v>Land</v>
          </cell>
          <cell r="E1255" t="str">
            <v>Common Use Check-in-counter</v>
          </cell>
        </row>
        <row r="1256">
          <cell r="D1256" t="str">
            <v>Land</v>
          </cell>
          <cell r="E1256" t="str">
            <v>Common Use Check-in-counter</v>
          </cell>
        </row>
        <row r="1257">
          <cell r="D1257" t="str">
            <v>Land</v>
          </cell>
          <cell r="E1257" t="str">
            <v>Common Use Check-in-counter</v>
          </cell>
        </row>
        <row r="1258">
          <cell r="D1258" t="str">
            <v>Land</v>
          </cell>
          <cell r="E1258" t="str">
            <v>Common Use Check-in-counter</v>
          </cell>
        </row>
        <row r="1259">
          <cell r="D1259" t="str">
            <v>Land</v>
          </cell>
          <cell r="E1259" t="str">
            <v>Common Use Check-in-counter</v>
          </cell>
        </row>
        <row r="1263">
          <cell r="D1263" t="str">
            <v>Buildings</v>
          </cell>
          <cell r="E1263" t="str">
            <v>Common Use Check-in-counter</v>
          </cell>
        </row>
        <row r="1264">
          <cell r="D1264" t="str">
            <v>Buildings</v>
          </cell>
          <cell r="E1264" t="str">
            <v>Common Use Check-in-counter</v>
          </cell>
        </row>
        <row r="1265">
          <cell r="D1265" t="str">
            <v>Buildings</v>
          </cell>
          <cell r="E1265" t="str">
            <v>Common Use Check-in-counter</v>
          </cell>
        </row>
        <row r="1266">
          <cell r="D1266" t="str">
            <v>Buildings</v>
          </cell>
          <cell r="E1266" t="str">
            <v>Common Use Check-in-counter</v>
          </cell>
        </row>
        <row r="1267">
          <cell r="D1267" t="str">
            <v>Buildings</v>
          </cell>
          <cell r="E1267" t="str">
            <v>Common Use Check-in-counter</v>
          </cell>
        </row>
        <row r="1268">
          <cell r="D1268" t="str">
            <v>Buildings</v>
          </cell>
          <cell r="E1268" t="str">
            <v>Common Use Check-in-counter</v>
          </cell>
        </row>
        <row r="1272">
          <cell r="D1272" t="str">
            <v>Computers &amp; Furniture</v>
          </cell>
          <cell r="E1272" t="str">
            <v>Common Use Check-in-counter</v>
          </cell>
        </row>
        <row r="1273">
          <cell r="D1273" t="str">
            <v>Computers &amp; Furniture</v>
          </cell>
          <cell r="E1273" t="str">
            <v>Common Use Check-in-counter</v>
          </cell>
        </row>
        <row r="1274">
          <cell r="D1274" t="str">
            <v>Computers &amp; Furniture</v>
          </cell>
          <cell r="E1274" t="str">
            <v>Common Use Check-in-counter</v>
          </cell>
        </row>
        <row r="1275">
          <cell r="D1275" t="str">
            <v>Computers &amp; Furniture</v>
          </cell>
          <cell r="E1275" t="str">
            <v>Common Use Check-in-counter</v>
          </cell>
        </row>
        <row r="1276">
          <cell r="D1276" t="str">
            <v>Computers &amp; Furniture</v>
          </cell>
          <cell r="E1276" t="str">
            <v>Common Use Check-in-counter</v>
          </cell>
        </row>
        <row r="1277">
          <cell r="D1277" t="str">
            <v>Computers &amp; Furniture</v>
          </cell>
          <cell r="E1277" t="str">
            <v>Common Use Check-in-counter</v>
          </cell>
        </row>
        <row r="1281">
          <cell r="D1281" t="str">
            <v>Motor vehicles</v>
          </cell>
          <cell r="E1281" t="str">
            <v>Common Use Check-in-counter</v>
          </cell>
        </row>
        <row r="1282">
          <cell r="D1282" t="str">
            <v>Motor vehicles</v>
          </cell>
          <cell r="E1282" t="str">
            <v>Common Use Check-in-counter</v>
          </cell>
        </row>
        <row r="1283">
          <cell r="D1283" t="str">
            <v>Motor vehicles</v>
          </cell>
          <cell r="E1283" t="str">
            <v>Common Use Check-in-counter</v>
          </cell>
        </row>
        <row r="1284">
          <cell r="D1284" t="str">
            <v>Motor vehicles</v>
          </cell>
          <cell r="E1284" t="str">
            <v>Common Use Check-in-counter</v>
          </cell>
        </row>
        <row r="1285">
          <cell r="D1285" t="str">
            <v>Motor vehicles</v>
          </cell>
          <cell r="E1285" t="str">
            <v>Common Use Check-in-counter</v>
          </cell>
        </row>
        <row r="1286">
          <cell r="D1286" t="str">
            <v>Motor vehicles</v>
          </cell>
          <cell r="E1286" t="str">
            <v>Common Use Check-in-counter</v>
          </cell>
        </row>
        <row r="1290">
          <cell r="D1290" t="str">
            <v>Plant &amp; equipment</v>
          </cell>
          <cell r="E1290" t="str">
            <v>Common Use Check-in-counter</v>
          </cell>
        </row>
        <row r="1291">
          <cell r="D1291" t="str">
            <v>Plant &amp; equipment</v>
          </cell>
          <cell r="E1291" t="str">
            <v>Common Use Check-in-counter</v>
          </cell>
        </row>
        <row r="1292">
          <cell r="D1292" t="str">
            <v>Plant &amp; equipment</v>
          </cell>
          <cell r="E1292" t="str">
            <v>Common Use Check-in-counter</v>
          </cell>
        </row>
        <row r="1293">
          <cell r="D1293" t="str">
            <v>Plant &amp; equipment</v>
          </cell>
          <cell r="E1293" t="str">
            <v>Common Use Check-in-counter</v>
          </cell>
        </row>
        <row r="1294">
          <cell r="D1294" t="str">
            <v>Plant &amp; equipment</v>
          </cell>
          <cell r="E1294" t="str">
            <v>Common Use Check-in-counter</v>
          </cell>
        </row>
        <row r="1295">
          <cell r="D1295" t="str">
            <v>Plant &amp; equipment</v>
          </cell>
          <cell r="E1295" t="str">
            <v>Common Use Check-in-counter</v>
          </cell>
        </row>
        <row r="1299">
          <cell r="D1299" t="str">
            <v>Airfield Runway Apron Taxi</v>
          </cell>
          <cell r="E1299" t="str">
            <v>Common Use Check-in-counter</v>
          </cell>
        </row>
        <row r="1300">
          <cell r="D1300" t="str">
            <v>Airfield Runway Apron Taxi</v>
          </cell>
          <cell r="E1300" t="str">
            <v>Common Use Check-in-counter</v>
          </cell>
        </row>
        <row r="1301">
          <cell r="D1301" t="str">
            <v>Airfield Runway Apron Taxi</v>
          </cell>
          <cell r="E1301" t="str">
            <v>Common Use Check-in-counter</v>
          </cell>
        </row>
        <row r="1302">
          <cell r="D1302" t="str">
            <v>Airfield Runway Apron Taxi</v>
          </cell>
          <cell r="E1302" t="str">
            <v>Common Use Check-in-counter</v>
          </cell>
        </row>
        <row r="1303">
          <cell r="D1303" t="str">
            <v>Airfield Runway Apron Taxi</v>
          </cell>
          <cell r="E1303" t="str">
            <v>Common Use Check-in-counter</v>
          </cell>
        </row>
        <row r="1304">
          <cell r="D1304" t="str">
            <v>Airfield Runway Apron Taxi</v>
          </cell>
          <cell r="E1304" t="str">
            <v>Common Use Check-in-counter</v>
          </cell>
        </row>
        <row r="1308">
          <cell r="D1308" t="str">
            <v>Infrastructure</v>
          </cell>
          <cell r="E1308" t="str">
            <v>Common Use Check-in-counter</v>
          </cell>
        </row>
        <row r="1309">
          <cell r="D1309" t="str">
            <v>Infrastructure</v>
          </cell>
          <cell r="E1309" t="str">
            <v>Common Use Check-in-counter</v>
          </cell>
        </row>
        <row r="1310">
          <cell r="D1310" t="str">
            <v>Infrastructure</v>
          </cell>
          <cell r="E1310" t="str">
            <v>Common Use Check-in-counter</v>
          </cell>
        </row>
        <row r="1311">
          <cell r="D1311" t="str">
            <v>Infrastructure</v>
          </cell>
          <cell r="E1311" t="str">
            <v>Common Use Check-in-counter</v>
          </cell>
        </row>
        <row r="1312">
          <cell r="D1312" t="str">
            <v>Infrastructure</v>
          </cell>
          <cell r="E1312" t="str">
            <v>Common Use Check-in-counter</v>
          </cell>
        </row>
        <row r="1313">
          <cell r="D1313" t="str">
            <v>Infrastructure</v>
          </cell>
          <cell r="E1313" t="str">
            <v>Common Use Check-in-counter</v>
          </cell>
        </row>
        <row r="1317">
          <cell r="D1317" t="str">
            <v>Terminal facilities</v>
          </cell>
          <cell r="E1317" t="str">
            <v>Common Use Check-in-counter</v>
          </cell>
        </row>
        <row r="1318">
          <cell r="D1318" t="str">
            <v>Terminal facilities</v>
          </cell>
          <cell r="E1318" t="str">
            <v>Common Use Check-in-counter</v>
          </cell>
        </row>
        <row r="1319">
          <cell r="D1319" t="str">
            <v>Terminal facilities</v>
          </cell>
          <cell r="E1319" t="str">
            <v>Common Use Check-in-counter</v>
          </cell>
        </row>
        <row r="1320">
          <cell r="D1320" t="str">
            <v>Terminal facilities</v>
          </cell>
          <cell r="E1320" t="str">
            <v>Common Use Check-in-counter</v>
          </cell>
        </row>
        <row r="1321">
          <cell r="D1321" t="str">
            <v>Terminal facilities</v>
          </cell>
          <cell r="E1321" t="str">
            <v>Common Use Check-in-counter</v>
          </cell>
        </row>
        <row r="1322">
          <cell r="D1322" t="str">
            <v>Terminal facilities</v>
          </cell>
          <cell r="E1322" t="str">
            <v>Common Use Check-in-counter</v>
          </cell>
        </row>
        <row r="1326">
          <cell r="D1326" t="str">
            <v>Car parking</v>
          </cell>
          <cell r="E1326" t="str">
            <v>Common Use Check-in-counter</v>
          </cell>
        </row>
        <row r="1327">
          <cell r="D1327" t="str">
            <v>Car parking</v>
          </cell>
          <cell r="E1327" t="str">
            <v>Common Use Check-in-counter</v>
          </cell>
        </row>
        <row r="1328">
          <cell r="D1328" t="str">
            <v>Car parking</v>
          </cell>
          <cell r="E1328" t="str">
            <v>Common Use Check-in-counter</v>
          </cell>
        </row>
        <row r="1329">
          <cell r="D1329" t="str">
            <v>Car parking</v>
          </cell>
          <cell r="E1329" t="str">
            <v>Common Use Check-in-counter</v>
          </cell>
        </row>
        <row r="1330">
          <cell r="D1330" t="str">
            <v>Car parking</v>
          </cell>
          <cell r="E1330" t="str">
            <v>Common Use Check-in-counter</v>
          </cell>
        </row>
        <row r="1331">
          <cell r="D1331" t="str">
            <v>Car parking</v>
          </cell>
          <cell r="E1331" t="str">
            <v>Common Use Check-in-counter</v>
          </cell>
        </row>
        <row r="1335">
          <cell r="D1335" t="str">
            <v>Software</v>
          </cell>
          <cell r="E1335" t="str">
            <v>Common Use Check-in-counter</v>
          </cell>
        </row>
        <row r="1336">
          <cell r="D1336" t="str">
            <v>Software</v>
          </cell>
          <cell r="E1336" t="str">
            <v>Common Use Check-in-counter</v>
          </cell>
        </row>
        <row r="1337">
          <cell r="D1337" t="str">
            <v>Software</v>
          </cell>
          <cell r="E1337" t="str">
            <v>Common Use Check-in-counter</v>
          </cell>
        </row>
        <row r="1338">
          <cell r="D1338" t="str">
            <v>Software</v>
          </cell>
          <cell r="E1338" t="str">
            <v>Common Use Check-in-counter</v>
          </cell>
        </row>
        <row r="1339">
          <cell r="D1339" t="str">
            <v>Software</v>
          </cell>
          <cell r="E1339" t="str">
            <v>Common Use Check-in-counter</v>
          </cell>
        </row>
        <row r="1340">
          <cell r="D1340" t="str">
            <v>Software</v>
          </cell>
          <cell r="E1340" t="str">
            <v>Common Use Check-in-counter</v>
          </cell>
        </row>
        <row r="1344">
          <cell r="D1344" t="str">
            <v>[Blank FA 1]</v>
          </cell>
          <cell r="E1344" t="str">
            <v>Common Use Check-in-counter</v>
          </cell>
        </row>
        <row r="1345">
          <cell r="D1345" t="str">
            <v>[Blank FA 1]</v>
          </cell>
          <cell r="E1345" t="str">
            <v>Common Use Check-in-counter</v>
          </cell>
        </row>
        <row r="1346">
          <cell r="D1346" t="str">
            <v>[Blank FA 1]</v>
          </cell>
          <cell r="E1346" t="str">
            <v>Common Use Check-in-counter</v>
          </cell>
        </row>
        <row r="1347">
          <cell r="D1347" t="str">
            <v>[Blank FA 1]</v>
          </cell>
          <cell r="E1347" t="str">
            <v>Common Use Check-in-counter</v>
          </cell>
        </row>
        <row r="1348">
          <cell r="D1348" t="str">
            <v>[Blank FA 1]</v>
          </cell>
          <cell r="E1348" t="str">
            <v>Common Use Check-in-counter</v>
          </cell>
        </row>
        <row r="1349">
          <cell r="D1349" t="str">
            <v>[Blank FA 1]</v>
          </cell>
          <cell r="E1349" t="str">
            <v>Common Use Check-in-counter</v>
          </cell>
        </row>
        <row r="1353">
          <cell r="D1353" t="str">
            <v>[Blank FA 2]</v>
          </cell>
          <cell r="E1353" t="str">
            <v>Common Use Check-in-counter</v>
          </cell>
        </row>
        <row r="1354">
          <cell r="D1354" t="str">
            <v>[Blank FA 2]</v>
          </cell>
          <cell r="E1354" t="str">
            <v>Common Use Check-in-counter</v>
          </cell>
        </row>
        <row r="1355">
          <cell r="D1355" t="str">
            <v>[Blank FA 2]</v>
          </cell>
          <cell r="E1355" t="str">
            <v>Common Use Check-in-counter</v>
          </cell>
        </row>
        <row r="1356">
          <cell r="D1356" t="str">
            <v>[Blank FA 2]</v>
          </cell>
          <cell r="E1356" t="str">
            <v>Common Use Check-in-counter</v>
          </cell>
        </row>
        <row r="1357">
          <cell r="D1357" t="str">
            <v>[Blank FA 2]</v>
          </cell>
          <cell r="E1357" t="str">
            <v>Common Use Check-in-counter</v>
          </cell>
        </row>
        <row r="1358">
          <cell r="D1358" t="str">
            <v>[Blank FA 2]</v>
          </cell>
          <cell r="E1358" t="str">
            <v>Common Use Check-in-counter</v>
          </cell>
        </row>
        <row r="1362">
          <cell r="D1362" t="str">
            <v>[Blank FA 3]</v>
          </cell>
          <cell r="E1362" t="str">
            <v>Common Use Check-in-counter</v>
          </cell>
        </row>
        <row r="1363">
          <cell r="D1363" t="str">
            <v>[Blank FA 3]</v>
          </cell>
          <cell r="E1363" t="str">
            <v>Common Use Check-in-counter</v>
          </cell>
        </row>
        <row r="1364">
          <cell r="D1364" t="str">
            <v>[Blank FA 3]</v>
          </cell>
          <cell r="E1364" t="str">
            <v>Common Use Check-in-counter</v>
          </cell>
        </row>
        <row r="1365">
          <cell r="D1365" t="str">
            <v>[Blank FA 3]</v>
          </cell>
          <cell r="E1365" t="str">
            <v>Common Use Check-in-counter</v>
          </cell>
        </row>
        <row r="1366">
          <cell r="D1366" t="str">
            <v>[Blank FA 3]</v>
          </cell>
          <cell r="E1366" t="str">
            <v>Common Use Check-in-counter</v>
          </cell>
        </row>
        <row r="1367">
          <cell r="D1367" t="str">
            <v>[Blank FA 3]</v>
          </cell>
          <cell r="E1367" t="str">
            <v>Common Use Check-in-counter</v>
          </cell>
        </row>
        <row r="1376">
          <cell r="D1376" t="str">
            <v>Land</v>
          </cell>
          <cell r="E1376" t="str">
            <v>Common Use Check-in-counter</v>
          </cell>
        </row>
        <row r="1377">
          <cell r="D1377" t="str">
            <v>Land</v>
          </cell>
          <cell r="E1377" t="str">
            <v>Common Use Check-in-counter</v>
          </cell>
        </row>
        <row r="1378">
          <cell r="D1378" t="str">
            <v>Land</v>
          </cell>
          <cell r="E1378" t="str">
            <v>Common Use Check-in-counter</v>
          </cell>
        </row>
        <row r="1379">
          <cell r="D1379" t="str">
            <v>Land</v>
          </cell>
          <cell r="E1379" t="str">
            <v>Common Use Check-in-counter</v>
          </cell>
        </row>
        <row r="1380">
          <cell r="D1380" t="str">
            <v>Land</v>
          </cell>
          <cell r="E1380" t="str">
            <v>Common Use Check-in-counter</v>
          </cell>
        </row>
        <row r="1381">
          <cell r="D1381" t="str">
            <v>Land</v>
          </cell>
          <cell r="E1381" t="str">
            <v>Common Use Check-in-counter</v>
          </cell>
        </row>
        <row r="1385">
          <cell r="D1385" t="str">
            <v>Buildings</v>
          </cell>
          <cell r="E1385" t="str">
            <v>Common Use Check-in-counter</v>
          </cell>
        </row>
        <row r="1386">
          <cell r="D1386" t="str">
            <v>Buildings</v>
          </cell>
          <cell r="E1386" t="str">
            <v>Common Use Check-in-counter</v>
          </cell>
        </row>
        <row r="1387">
          <cell r="D1387" t="str">
            <v>Buildings</v>
          </cell>
          <cell r="E1387" t="str">
            <v>Common Use Check-in-counter</v>
          </cell>
        </row>
        <row r="1388">
          <cell r="D1388" t="str">
            <v>Buildings</v>
          </cell>
          <cell r="E1388" t="str">
            <v>Common Use Check-in-counter</v>
          </cell>
        </row>
        <row r="1389">
          <cell r="D1389" t="str">
            <v>Buildings</v>
          </cell>
          <cell r="E1389" t="str">
            <v>Common Use Check-in-counter</v>
          </cell>
        </row>
        <row r="1390">
          <cell r="D1390" t="str">
            <v>Buildings</v>
          </cell>
          <cell r="E1390" t="str">
            <v>Common Use Check-in-counter</v>
          </cell>
        </row>
        <row r="1394">
          <cell r="D1394" t="str">
            <v>Computers &amp; Furniture</v>
          </cell>
          <cell r="E1394" t="str">
            <v>Common Use Check-in-counter</v>
          </cell>
        </row>
        <row r="1395">
          <cell r="D1395" t="str">
            <v>Computers &amp; Furniture</v>
          </cell>
          <cell r="E1395" t="str">
            <v>Common Use Check-in-counter</v>
          </cell>
        </row>
        <row r="1396">
          <cell r="D1396" t="str">
            <v>Computers &amp; Furniture</v>
          </cell>
          <cell r="E1396" t="str">
            <v>Common Use Check-in-counter</v>
          </cell>
        </row>
        <row r="1397">
          <cell r="D1397" t="str">
            <v>Computers &amp; Furniture</v>
          </cell>
          <cell r="E1397" t="str">
            <v>Common Use Check-in-counter</v>
          </cell>
        </row>
        <row r="1398">
          <cell r="D1398" t="str">
            <v>Computers &amp; Furniture</v>
          </cell>
          <cell r="E1398" t="str">
            <v>Common Use Check-in-counter</v>
          </cell>
        </row>
        <row r="1399">
          <cell r="D1399" t="str">
            <v>Computers &amp; Furniture</v>
          </cell>
          <cell r="E1399" t="str">
            <v>Common Use Check-in-counter</v>
          </cell>
        </row>
        <row r="1403">
          <cell r="D1403" t="str">
            <v>Motor vehicles</v>
          </cell>
          <cell r="E1403" t="str">
            <v>Common Use Check-in-counter</v>
          </cell>
        </row>
        <row r="1404">
          <cell r="D1404" t="str">
            <v>Motor vehicles</v>
          </cell>
          <cell r="E1404" t="str">
            <v>Common Use Check-in-counter</v>
          </cell>
        </row>
        <row r="1405">
          <cell r="D1405" t="str">
            <v>Motor vehicles</v>
          </cell>
          <cell r="E1405" t="str">
            <v>Common Use Check-in-counter</v>
          </cell>
        </row>
        <row r="1406">
          <cell r="D1406" t="str">
            <v>Motor vehicles</v>
          </cell>
          <cell r="E1406" t="str">
            <v>Common Use Check-in-counter</v>
          </cell>
        </row>
        <row r="1407">
          <cell r="D1407" t="str">
            <v>Motor vehicles</v>
          </cell>
          <cell r="E1407" t="str">
            <v>Common Use Check-in-counter</v>
          </cell>
        </row>
        <row r="1408">
          <cell r="D1408" t="str">
            <v>Motor vehicles</v>
          </cell>
          <cell r="E1408" t="str">
            <v>Common Use Check-in-counter</v>
          </cell>
        </row>
        <row r="1412">
          <cell r="D1412" t="str">
            <v>Plant &amp; equipment</v>
          </cell>
          <cell r="E1412" t="str">
            <v>Common Use Check-in-counter</v>
          </cell>
        </row>
        <row r="1413">
          <cell r="D1413" t="str">
            <v>Plant &amp; equipment</v>
          </cell>
          <cell r="E1413" t="str">
            <v>Common Use Check-in-counter</v>
          </cell>
        </row>
        <row r="1414">
          <cell r="D1414" t="str">
            <v>Plant &amp; equipment</v>
          </cell>
          <cell r="E1414" t="str">
            <v>Common Use Check-in-counter</v>
          </cell>
        </row>
        <row r="1415">
          <cell r="D1415" t="str">
            <v>Plant &amp; equipment</v>
          </cell>
          <cell r="E1415" t="str">
            <v>Common Use Check-in-counter</v>
          </cell>
        </row>
        <row r="1416">
          <cell r="D1416" t="str">
            <v>Plant &amp; equipment</v>
          </cell>
          <cell r="E1416" t="str">
            <v>Common Use Check-in-counter</v>
          </cell>
        </row>
        <row r="1417">
          <cell r="D1417" t="str">
            <v>Plant &amp; equipment</v>
          </cell>
          <cell r="E1417" t="str">
            <v>Common Use Check-in-counter</v>
          </cell>
        </row>
        <row r="1421">
          <cell r="D1421" t="str">
            <v>Airfield Runway Apron Taxi</v>
          </cell>
          <cell r="E1421" t="str">
            <v>Common Use Check-in-counter</v>
          </cell>
        </row>
        <row r="1422">
          <cell r="D1422" t="str">
            <v>Airfield Runway Apron Taxi</v>
          </cell>
          <cell r="E1422" t="str">
            <v>Common Use Check-in-counter</v>
          </cell>
        </row>
        <row r="1423">
          <cell r="D1423" t="str">
            <v>Airfield Runway Apron Taxi</v>
          </cell>
          <cell r="E1423" t="str">
            <v>Common Use Check-in-counter</v>
          </cell>
        </row>
        <row r="1424">
          <cell r="D1424" t="str">
            <v>Airfield Runway Apron Taxi</v>
          </cell>
          <cell r="E1424" t="str">
            <v>Common Use Check-in-counter</v>
          </cell>
        </row>
        <row r="1425">
          <cell r="D1425" t="str">
            <v>Airfield Runway Apron Taxi</v>
          </cell>
          <cell r="E1425" t="str">
            <v>Common Use Check-in-counter</v>
          </cell>
        </row>
        <row r="1426">
          <cell r="D1426" t="str">
            <v>Airfield Runway Apron Taxi</v>
          </cell>
          <cell r="E1426" t="str">
            <v>Common Use Check-in-counter</v>
          </cell>
        </row>
        <row r="1430">
          <cell r="D1430" t="str">
            <v>Infrastructure</v>
          </cell>
          <cell r="E1430" t="str">
            <v>Common Use Check-in-counter</v>
          </cell>
        </row>
        <row r="1431">
          <cell r="D1431" t="str">
            <v>Infrastructure</v>
          </cell>
          <cell r="E1431" t="str">
            <v>Common Use Check-in-counter</v>
          </cell>
        </row>
        <row r="1432">
          <cell r="D1432" t="str">
            <v>Infrastructure</v>
          </cell>
          <cell r="E1432" t="str">
            <v>Common Use Check-in-counter</v>
          </cell>
        </row>
        <row r="1433">
          <cell r="D1433" t="str">
            <v>Infrastructure</v>
          </cell>
          <cell r="E1433" t="str">
            <v>Common Use Check-in-counter</v>
          </cell>
        </row>
        <row r="1434">
          <cell r="D1434" t="str">
            <v>Infrastructure</v>
          </cell>
          <cell r="E1434" t="str">
            <v>Common Use Check-in-counter</v>
          </cell>
        </row>
        <row r="1435">
          <cell r="D1435" t="str">
            <v>Infrastructure</v>
          </cell>
          <cell r="E1435" t="str">
            <v>Common Use Check-in-counter</v>
          </cell>
        </row>
        <row r="1439">
          <cell r="D1439" t="str">
            <v>Terminal facilities</v>
          </cell>
          <cell r="E1439" t="str">
            <v>Common Use Check-in-counter</v>
          </cell>
        </row>
        <row r="1440">
          <cell r="D1440" t="str">
            <v>Terminal facilities</v>
          </cell>
          <cell r="E1440" t="str">
            <v>Common Use Check-in-counter</v>
          </cell>
        </row>
        <row r="1441">
          <cell r="D1441" t="str">
            <v>Terminal facilities</v>
          </cell>
          <cell r="E1441" t="str">
            <v>Common Use Check-in-counter</v>
          </cell>
        </row>
        <row r="1442">
          <cell r="D1442" t="str">
            <v>Terminal facilities</v>
          </cell>
          <cell r="E1442" t="str">
            <v>Common Use Check-in-counter</v>
          </cell>
        </row>
        <row r="1443">
          <cell r="D1443" t="str">
            <v>Terminal facilities</v>
          </cell>
          <cell r="E1443" t="str">
            <v>Common Use Check-in-counter</v>
          </cell>
        </row>
        <row r="1444">
          <cell r="D1444" t="str">
            <v>Terminal facilities</v>
          </cell>
          <cell r="E1444" t="str">
            <v>Common Use Check-in-counter</v>
          </cell>
        </row>
        <row r="1448">
          <cell r="D1448" t="str">
            <v>Car parking</v>
          </cell>
          <cell r="E1448" t="str">
            <v>Common Use Check-in-counter</v>
          </cell>
        </row>
        <row r="1449">
          <cell r="D1449" t="str">
            <v>Car parking</v>
          </cell>
          <cell r="E1449" t="str">
            <v>Common Use Check-in-counter</v>
          </cell>
        </row>
        <row r="1450">
          <cell r="D1450" t="str">
            <v>Car parking</v>
          </cell>
          <cell r="E1450" t="str">
            <v>Common Use Check-in-counter</v>
          </cell>
        </row>
        <row r="1451">
          <cell r="D1451" t="str">
            <v>Car parking</v>
          </cell>
          <cell r="E1451" t="str">
            <v>Common Use Check-in-counter</v>
          </cell>
        </row>
        <row r="1452">
          <cell r="D1452" t="str">
            <v>Car parking</v>
          </cell>
          <cell r="E1452" t="str">
            <v>Common Use Check-in-counter</v>
          </cell>
        </row>
        <row r="1453">
          <cell r="D1453" t="str">
            <v>Car parking</v>
          </cell>
          <cell r="E1453" t="str">
            <v>Common Use Check-in-counter</v>
          </cell>
        </row>
        <row r="1457">
          <cell r="D1457" t="str">
            <v>Software</v>
          </cell>
          <cell r="E1457" t="str">
            <v>Common Use Check-in-counter</v>
          </cell>
        </row>
        <row r="1458">
          <cell r="D1458" t="str">
            <v>Software</v>
          </cell>
          <cell r="E1458" t="str">
            <v>Common Use Check-in-counter</v>
          </cell>
        </row>
        <row r="1459">
          <cell r="D1459" t="str">
            <v>Software</v>
          </cell>
          <cell r="E1459" t="str">
            <v>Common Use Check-in-counter</v>
          </cell>
        </row>
        <row r="1460">
          <cell r="D1460" t="str">
            <v>Software</v>
          </cell>
          <cell r="E1460" t="str">
            <v>Common Use Check-in-counter</v>
          </cell>
        </row>
        <row r="1461">
          <cell r="D1461" t="str">
            <v>Software</v>
          </cell>
          <cell r="E1461" t="str">
            <v>Common Use Check-in-counter</v>
          </cell>
        </row>
        <row r="1462">
          <cell r="D1462" t="str">
            <v>Software</v>
          </cell>
          <cell r="E1462" t="str">
            <v>Common Use Check-in-counter</v>
          </cell>
        </row>
        <row r="1466">
          <cell r="D1466" t="str">
            <v>[Blank FA 1]</v>
          </cell>
          <cell r="E1466" t="str">
            <v>Common Use Check-in-counter</v>
          </cell>
        </row>
        <row r="1467">
          <cell r="D1467" t="str">
            <v>[Blank FA 1]</v>
          </cell>
          <cell r="E1467" t="str">
            <v>Common Use Check-in-counter</v>
          </cell>
        </row>
        <row r="1468">
          <cell r="D1468" t="str">
            <v>[Blank FA 1]</v>
          </cell>
          <cell r="E1468" t="str">
            <v>Common Use Check-in-counter</v>
          </cell>
        </row>
        <row r="1469">
          <cell r="D1469" t="str">
            <v>[Blank FA 1]</v>
          </cell>
          <cell r="E1469" t="str">
            <v>Common Use Check-in-counter</v>
          </cell>
        </row>
        <row r="1470">
          <cell r="D1470" t="str">
            <v>[Blank FA 1]</v>
          </cell>
          <cell r="E1470" t="str">
            <v>Common Use Check-in-counter</v>
          </cell>
        </row>
        <row r="1471">
          <cell r="D1471" t="str">
            <v>[Blank FA 1]</v>
          </cell>
          <cell r="E1471" t="str">
            <v>Common Use Check-in-counter</v>
          </cell>
        </row>
        <row r="1475">
          <cell r="D1475" t="str">
            <v>[Blank FA 2]</v>
          </cell>
          <cell r="E1475" t="str">
            <v>Common Use Check-in-counter</v>
          </cell>
        </row>
        <row r="1476">
          <cell r="D1476" t="str">
            <v>[Blank FA 2]</v>
          </cell>
          <cell r="E1476" t="str">
            <v>Common Use Check-in-counter</v>
          </cell>
        </row>
        <row r="1477">
          <cell r="D1477" t="str">
            <v>[Blank FA 2]</v>
          </cell>
          <cell r="E1477" t="str">
            <v>Common Use Check-in-counter</v>
          </cell>
        </row>
        <row r="1478">
          <cell r="D1478" t="str">
            <v>[Blank FA 2]</v>
          </cell>
          <cell r="E1478" t="str">
            <v>Common Use Check-in-counter</v>
          </cell>
        </row>
        <row r="1479">
          <cell r="D1479" t="str">
            <v>[Blank FA 2]</v>
          </cell>
          <cell r="E1479" t="str">
            <v>Common Use Check-in-counter</v>
          </cell>
        </row>
        <row r="1480">
          <cell r="D1480" t="str">
            <v>[Blank FA 2]</v>
          </cell>
          <cell r="E1480" t="str">
            <v>Common Use Check-in-counter</v>
          </cell>
        </row>
        <row r="1484">
          <cell r="D1484" t="str">
            <v>[Blank FA 3]</v>
          </cell>
          <cell r="E1484" t="str">
            <v>Common Use Check-in-counter</v>
          </cell>
        </row>
        <row r="1485">
          <cell r="D1485" t="str">
            <v>[Blank FA 3]</v>
          </cell>
          <cell r="E1485" t="str">
            <v>Common Use Check-in-counter</v>
          </cell>
        </row>
        <row r="1486">
          <cell r="D1486" t="str">
            <v>[Blank FA 3]</v>
          </cell>
          <cell r="E1486" t="str">
            <v>Common Use Check-in-counter</v>
          </cell>
        </row>
        <row r="1487">
          <cell r="D1487" t="str">
            <v>[Blank FA 3]</v>
          </cell>
          <cell r="E1487" t="str">
            <v>Common Use Check-in-counter</v>
          </cell>
        </row>
        <row r="1488">
          <cell r="D1488" t="str">
            <v>[Blank FA 3]</v>
          </cell>
          <cell r="E1488" t="str">
            <v>Common Use Check-in-counter</v>
          </cell>
        </row>
        <row r="1489">
          <cell r="D1489" t="str">
            <v>[Blank FA 3]</v>
          </cell>
          <cell r="E1489" t="str">
            <v>Common Use Check-in-counter</v>
          </cell>
        </row>
        <row r="1498">
          <cell r="D1498" t="str">
            <v>Land</v>
          </cell>
          <cell r="E1498" t="str">
            <v>Property - Other</v>
          </cell>
        </row>
        <row r="1499">
          <cell r="D1499" t="str">
            <v>Land</v>
          </cell>
          <cell r="E1499" t="str">
            <v>Property - Other</v>
          </cell>
        </row>
        <row r="1500">
          <cell r="D1500" t="str">
            <v>Land</v>
          </cell>
          <cell r="E1500" t="str">
            <v>Property - Other</v>
          </cell>
        </row>
        <row r="1501">
          <cell r="D1501" t="str">
            <v>Land</v>
          </cell>
          <cell r="E1501" t="str">
            <v>Property - Other</v>
          </cell>
        </row>
        <row r="1502">
          <cell r="D1502" t="str">
            <v>Land</v>
          </cell>
          <cell r="E1502" t="str">
            <v>Property - Other</v>
          </cell>
        </row>
        <row r="1503">
          <cell r="D1503" t="str">
            <v>Land</v>
          </cell>
          <cell r="E1503" t="str">
            <v>Property - Other</v>
          </cell>
        </row>
        <row r="1507">
          <cell r="D1507" t="str">
            <v>Buildings</v>
          </cell>
          <cell r="E1507" t="str">
            <v>Property - Other</v>
          </cell>
        </row>
        <row r="1508">
          <cell r="D1508" t="str">
            <v>Buildings</v>
          </cell>
          <cell r="E1508" t="str">
            <v>Property - Other</v>
          </cell>
        </row>
        <row r="1509">
          <cell r="D1509" t="str">
            <v>Buildings</v>
          </cell>
          <cell r="E1509" t="str">
            <v>Property - Other</v>
          </cell>
        </row>
        <row r="1510">
          <cell r="D1510" t="str">
            <v>Buildings</v>
          </cell>
          <cell r="E1510" t="str">
            <v>Property - Other</v>
          </cell>
        </row>
        <row r="1511">
          <cell r="D1511" t="str">
            <v>Buildings</v>
          </cell>
          <cell r="E1511" t="str">
            <v>Property - Other</v>
          </cell>
        </row>
        <row r="1512">
          <cell r="D1512" t="str">
            <v>Buildings</v>
          </cell>
          <cell r="E1512" t="str">
            <v>Property - Other</v>
          </cell>
        </row>
        <row r="1516">
          <cell r="D1516" t="str">
            <v>Computers &amp; Furniture</v>
          </cell>
          <cell r="E1516" t="str">
            <v>Property - Other</v>
          </cell>
        </row>
        <row r="1517">
          <cell r="D1517" t="str">
            <v>Computers &amp; Furniture</v>
          </cell>
          <cell r="E1517" t="str">
            <v>Property - Other</v>
          </cell>
        </row>
        <row r="1518">
          <cell r="D1518" t="str">
            <v>Computers &amp; Furniture</v>
          </cell>
          <cell r="E1518" t="str">
            <v>Property - Other</v>
          </cell>
        </row>
        <row r="1519">
          <cell r="D1519" t="str">
            <v>Computers &amp; Furniture</v>
          </cell>
          <cell r="E1519" t="str">
            <v>Property - Other</v>
          </cell>
        </row>
        <row r="1520">
          <cell r="D1520" t="str">
            <v>Computers &amp; Furniture</v>
          </cell>
          <cell r="E1520" t="str">
            <v>Property - Other</v>
          </cell>
        </row>
        <row r="1521">
          <cell r="D1521" t="str">
            <v>Computers &amp; Furniture</v>
          </cell>
          <cell r="E1521" t="str">
            <v>Property - Other</v>
          </cell>
        </row>
        <row r="1525">
          <cell r="D1525" t="str">
            <v>Motor vehicles</v>
          </cell>
          <cell r="E1525" t="str">
            <v>Property - Other</v>
          </cell>
        </row>
        <row r="1526">
          <cell r="D1526" t="str">
            <v>Motor vehicles</v>
          </cell>
          <cell r="E1526" t="str">
            <v>Property - Other</v>
          </cell>
        </row>
        <row r="1527">
          <cell r="D1527" t="str">
            <v>Motor vehicles</v>
          </cell>
          <cell r="E1527" t="str">
            <v>Property - Other</v>
          </cell>
        </row>
        <row r="1528">
          <cell r="D1528" t="str">
            <v>Motor vehicles</v>
          </cell>
          <cell r="E1528" t="str">
            <v>Property - Other</v>
          </cell>
        </row>
        <row r="1529">
          <cell r="D1529" t="str">
            <v>Motor vehicles</v>
          </cell>
          <cell r="E1529" t="str">
            <v>Property - Other</v>
          </cell>
        </row>
        <row r="1530">
          <cell r="D1530" t="str">
            <v>Motor vehicles</v>
          </cell>
          <cell r="E1530" t="str">
            <v>Property - Other</v>
          </cell>
        </row>
        <row r="1534">
          <cell r="D1534" t="str">
            <v>Plant &amp; equipment</v>
          </cell>
          <cell r="E1534" t="str">
            <v>Property - Other</v>
          </cell>
        </row>
        <row r="1535">
          <cell r="D1535" t="str">
            <v>Plant &amp; equipment</v>
          </cell>
          <cell r="E1535" t="str">
            <v>Property - Other</v>
          </cell>
        </row>
        <row r="1536">
          <cell r="D1536" t="str">
            <v>Plant &amp; equipment</v>
          </cell>
          <cell r="E1536" t="str">
            <v>Property - Other</v>
          </cell>
        </row>
        <row r="1537">
          <cell r="D1537" t="str">
            <v>Plant &amp; equipment</v>
          </cell>
          <cell r="E1537" t="str">
            <v>Property - Other</v>
          </cell>
        </row>
        <row r="1538">
          <cell r="D1538" t="str">
            <v>Plant &amp; equipment</v>
          </cell>
          <cell r="E1538" t="str">
            <v>Property - Other</v>
          </cell>
        </row>
        <row r="1539">
          <cell r="D1539" t="str">
            <v>Plant &amp; equipment</v>
          </cell>
          <cell r="E1539" t="str">
            <v>Property - Other</v>
          </cell>
        </row>
        <row r="1543">
          <cell r="D1543" t="str">
            <v>Airfield Runway Apron Taxi</v>
          </cell>
          <cell r="E1543" t="str">
            <v>Property - Other</v>
          </cell>
        </row>
        <row r="1544">
          <cell r="D1544" t="str">
            <v>Airfield Runway Apron Taxi</v>
          </cell>
          <cell r="E1544" t="str">
            <v>Property - Other</v>
          </cell>
        </row>
        <row r="1545">
          <cell r="D1545" t="str">
            <v>Airfield Runway Apron Taxi</v>
          </cell>
          <cell r="E1545" t="str">
            <v>Property - Other</v>
          </cell>
        </row>
        <row r="1546">
          <cell r="D1546" t="str">
            <v>Airfield Runway Apron Taxi</v>
          </cell>
          <cell r="E1546" t="str">
            <v>Property - Other</v>
          </cell>
        </row>
        <row r="1547">
          <cell r="D1547" t="str">
            <v>Airfield Runway Apron Taxi</v>
          </cell>
          <cell r="E1547" t="str">
            <v>Property - Other</v>
          </cell>
        </row>
        <row r="1548">
          <cell r="D1548" t="str">
            <v>Airfield Runway Apron Taxi</v>
          </cell>
          <cell r="E1548" t="str">
            <v>Property - Other</v>
          </cell>
        </row>
        <row r="1552">
          <cell r="D1552" t="str">
            <v>Infrastructure</v>
          </cell>
          <cell r="E1552" t="str">
            <v>Property - Other</v>
          </cell>
        </row>
        <row r="1553">
          <cell r="D1553" t="str">
            <v>Infrastructure</v>
          </cell>
          <cell r="E1553" t="str">
            <v>Property - Other</v>
          </cell>
        </row>
        <row r="1554">
          <cell r="D1554" t="str">
            <v>Infrastructure</v>
          </cell>
          <cell r="E1554" t="str">
            <v>Property - Other</v>
          </cell>
        </row>
        <row r="1555">
          <cell r="D1555" t="str">
            <v>Infrastructure</v>
          </cell>
          <cell r="E1555" t="str">
            <v>Property - Other</v>
          </cell>
        </row>
        <row r="1556">
          <cell r="D1556" t="str">
            <v>Infrastructure</v>
          </cell>
          <cell r="E1556" t="str">
            <v>Property - Other</v>
          </cell>
        </row>
        <row r="1557">
          <cell r="D1557" t="str">
            <v>Infrastructure</v>
          </cell>
          <cell r="E1557" t="str">
            <v>Property - Other</v>
          </cell>
        </row>
        <row r="1561">
          <cell r="D1561" t="str">
            <v>Terminal facilities</v>
          </cell>
          <cell r="E1561" t="str">
            <v>Property - Other</v>
          </cell>
        </row>
        <row r="1562">
          <cell r="D1562" t="str">
            <v>Terminal facilities</v>
          </cell>
          <cell r="E1562" t="str">
            <v>Property - Other</v>
          </cell>
        </row>
        <row r="1563">
          <cell r="D1563" t="str">
            <v>Terminal facilities</v>
          </cell>
          <cell r="E1563" t="str">
            <v>Property - Other</v>
          </cell>
        </row>
        <row r="1564">
          <cell r="D1564" t="str">
            <v>Terminal facilities</v>
          </cell>
          <cell r="E1564" t="str">
            <v>Property - Other</v>
          </cell>
        </row>
        <row r="1565">
          <cell r="D1565" t="str">
            <v>Terminal facilities</v>
          </cell>
          <cell r="E1565" t="str">
            <v>Property - Other</v>
          </cell>
        </row>
        <row r="1566">
          <cell r="D1566" t="str">
            <v>Terminal facilities</v>
          </cell>
          <cell r="E1566" t="str">
            <v>Property - Other</v>
          </cell>
        </row>
        <row r="1570">
          <cell r="D1570" t="str">
            <v>Car parking</v>
          </cell>
          <cell r="E1570" t="str">
            <v>Property - Other</v>
          </cell>
        </row>
        <row r="1571">
          <cell r="D1571" t="str">
            <v>Car parking</v>
          </cell>
          <cell r="E1571" t="str">
            <v>Property - Other</v>
          </cell>
        </row>
        <row r="1572">
          <cell r="D1572" t="str">
            <v>Car parking</v>
          </cell>
          <cell r="E1572" t="str">
            <v>Property - Other</v>
          </cell>
        </row>
        <row r="1573">
          <cell r="D1573" t="str">
            <v>Car parking</v>
          </cell>
          <cell r="E1573" t="str">
            <v>Property - Other</v>
          </cell>
        </row>
        <row r="1574">
          <cell r="D1574" t="str">
            <v>Car parking</v>
          </cell>
          <cell r="E1574" t="str">
            <v>Property - Other</v>
          </cell>
        </row>
        <row r="1575">
          <cell r="D1575" t="str">
            <v>Car parking</v>
          </cell>
          <cell r="E1575" t="str">
            <v>Property - Other</v>
          </cell>
        </row>
        <row r="1579">
          <cell r="D1579" t="str">
            <v>Software</v>
          </cell>
          <cell r="E1579" t="str">
            <v>Property - Other</v>
          </cell>
        </row>
        <row r="1580">
          <cell r="D1580" t="str">
            <v>Software</v>
          </cell>
          <cell r="E1580" t="str">
            <v>Property - Other</v>
          </cell>
        </row>
        <row r="1581">
          <cell r="D1581" t="str">
            <v>Software</v>
          </cell>
          <cell r="E1581" t="str">
            <v>Property - Other</v>
          </cell>
        </row>
        <row r="1582">
          <cell r="D1582" t="str">
            <v>Software</v>
          </cell>
          <cell r="E1582" t="str">
            <v>Property - Other</v>
          </cell>
        </row>
        <row r="1583">
          <cell r="D1583" t="str">
            <v>Software</v>
          </cell>
          <cell r="E1583" t="str">
            <v>Property - Other</v>
          </cell>
        </row>
        <row r="1584">
          <cell r="D1584" t="str">
            <v>Software</v>
          </cell>
          <cell r="E1584" t="str">
            <v>Property - Other</v>
          </cell>
        </row>
        <row r="1588">
          <cell r="D1588" t="str">
            <v>[Blank FA 1]</v>
          </cell>
          <cell r="E1588" t="str">
            <v>Property - Other</v>
          </cell>
        </row>
        <row r="1589">
          <cell r="D1589" t="str">
            <v>[Blank FA 1]</v>
          </cell>
          <cell r="E1589" t="str">
            <v>Property - Other</v>
          </cell>
        </row>
        <row r="1590">
          <cell r="D1590" t="str">
            <v>[Blank FA 1]</v>
          </cell>
          <cell r="E1590" t="str">
            <v>Property - Other</v>
          </cell>
        </row>
        <row r="1591">
          <cell r="D1591" t="str">
            <v>[Blank FA 1]</v>
          </cell>
          <cell r="E1591" t="str">
            <v>Property - Other</v>
          </cell>
        </row>
        <row r="1592">
          <cell r="D1592" t="str">
            <v>[Blank FA 1]</v>
          </cell>
          <cell r="E1592" t="str">
            <v>Property - Other</v>
          </cell>
        </row>
        <row r="1593">
          <cell r="D1593" t="str">
            <v>[Blank FA 1]</v>
          </cell>
          <cell r="E1593" t="str">
            <v>Property - Other</v>
          </cell>
        </row>
        <row r="1597">
          <cell r="D1597" t="str">
            <v>[Blank FA 2]</v>
          </cell>
          <cell r="E1597" t="str">
            <v>Property - Other</v>
          </cell>
        </row>
        <row r="1598">
          <cell r="D1598" t="str">
            <v>[Blank FA 2]</v>
          </cell>
          <cell r="E1598" t="str">
            <v>Property - Other</v>
          </cell>
        </row>
        <row r="1599">
          <cell r="D1599" t="str">
            <v>[Blank FA 2]</v>
          </cell>
          <cell r="E1599" t="str">
            <v>Property - Other</v>
          </cell>
        </row>
        <row r="1600">
          <cell r="D1600" t="str">
            <v>[Blank FA 2]</v>
          </cell>
          <cell r="E1600" t="str">
            <v>Property - Other</v>
          </cell>
        </row>
        <row r="1601">
          <cell r="D1601" t="str">
            <v>[Blank FA 2]</v>
          </cell>
          <cell r="E1601" t="str">
            <v>Property - Other</v>
          </cell>
        </row>
        <row r="1602">
          <cell r="D1602" t="str">
            <v>[Blank FA 2]</v>
          </cell>
          <cell r="E1602" t="str">
            <v>Property - Other</v>
          </cell>
        </row>
        <row r="1606">
          <cell r="D1606" t="str">
            <v>[Blank FA 3]</v>
          </cell>
          <cell r="E1606" t="str">
            <v>Property - Other</v>
          </cell>
        </row>
        <row r="1607">
          <cell r="D1607" t="str">
            <v>[Blank FA 3]</v>
          </cell>
          <cell r="E1607" t="str">
            <v>Property - Other</v>
          </cell>
        </row>
        <row r="1608">
          <cell r="D1608" t="str">
            <v>[Blank FA 3]</v>
          </cell>
          <cell r="E1608" t="str">
            <v>Property - Other</v>
          </cell>
        </row>
        <row r="1609">
          <cell r="D1609" t="str">
            <v>[Blank FA 3]</v>
          </cell>
          <cell r="E1609" t="str">
            <v>Property - Other</v>
          </cell>
        </row>
        <row r="1610">
          <cell r="D1610" t="str">
            <v>[Blank FA 3]</v>
          </cell>
          <cell r="E1610" t="str">
            <v>Property - Other</v>
          </cell>
        </row>
        <row r="1611">
          <cell r="D1611" t="str">
            <v>[Blank FA 3]</v>
          </cell>
          <cell r="E1611" t="str">
            <v>Property - Other</v>
          </cell>
        </row>
        <row r="1620">
          <cell r="D1620" t="str">
            <v>Land</v>
          </cell>
          <cell r="E1620" t="str">
            <v>Property - Other</v>
          </cell>
        </row>
        <row r="1621">
          <cell r="D1621" t="str">
            <v>Land</v>
          </cell>
          <cell r="E1621" t="str">
            <v>Property - Other</v>
          </cell>
        </row>
        <row r="1622">
          <cell r="D1622" t="str">
            <v>Land</v>
          </cell>
          <cell r="E1622" t="str">
            <v>Property - Other</v>
          </cell>
        </row>
        <row r="1623">
          <cell r="D1623" t="str">
            <v>Land</v>
          </cell>
          <cell r="E1623" t="str">
            <v>Property - Other</v>
          </cell>
        </row>
        <row r="1624">
          <cell r="D1624" t="str">
            <v>Land</v>
          </cell>
          <cell r="E1624" t="str">
            <v>Property - Other</v>
          </cell>
        </row>
        <row r="1625">
          <cell r="D1625" t="str">
            <v>Land</v>
          </cell>
          <cell r="E1625" t="str">
            <v>Property - Other</v>
          </cell>
        </row>
        <row r="1629">
          <cell r="D1629" t="str">
            <v>Buildings</v>
          </cell>
          <cell r="E1629" t="str">
            <v>Property - Other</v>
          </cell>
        </row>
        <row r="1630">
          <cell r="D1630" t="str">
            <v>Buildings</v>
          </cell>
          <cell r="E1630" t="str">
            <v>Property - Other</v>
          </cell>
        </row>
        <row r="1631">
          <cell r="D1631" t="str">
            <v>Buildings</v>
          </cell>
          <cell r="E1631" t="str">
            <v>Property - Other</v>
          </cell>
        </row>
        <row r="1632">
          <cell r="D1632" t="str">
            <v>Buildings</v>
          </cell>
          <cell r="E1632" t="str">
            <v>Property - Other</v>
          </cell>
        </row>
        <row r="1633">
          <cell r="D1633" t="str">
            <v>Buildings</v>
          </cell>
          <cell r="E1633" t="str">
            <v>Property - Other</v>
          </cell>
        </row>
        <row r="1634">
          <cell r="D1634" t="str">
            <v>Buildings</v>
          </cell>
          <cell r="E1634" t="str">
            <v>Property - Other</v>
          </cell>
        </row>
        <row r="1638">
          <cell r="D1638" t="str">
            <v>Computers &amp; Furniture</v>
          </cell>
          <cell r="E1638" t="str">
            <v>Property - Other</v>
          </cell>
        </row>
        <row r="1639">
          <cell r="D1639" t="str">
            <v>Computers &amp; Furniture</v>
          </cell>
          <cell r="E1639" t="str">
            <v>Property - Other</v>
          </cell>
        </row>
        <row r="1640">
          <cell r="D1640" t="str">
            <v>Computers &amp; Furniture</v>
          </cell>
          <cell r="E1640" t="str">
            <v>Property - Other</v>
          </cell>
        </row>
        <row r="1641">
          <cell r="D1641" t="str">
            <v>Computers &amp; Furniture</v>
          </cell>
          <cell r="E1641" t="str">
            <v>Property - Other</v>
          </cell>
        </row>
        <row r="1642">
          <cell r="D1642" t="str">
            <v>Computers &amp; Furniture</v>
          </cell>
          <cell r="E1642" t="str">
            <v>Property - Other</v>
          </cell>
        </row>
        <row r="1643">
          <cell r="D1643" t="str">
            <v>Computers &amp; Furniture</v>
          </cell>
          <cell r="E1643" t="str">
            <v>Property - Other</v>
          </cell>
        </row>
        <row r="1647">
          <cell r="D1647" t="str">
            <v>Motor vehicles</v>
          </cell>
          <cell r="E1647" t="str">
            <v>Property - Other</v>
          </cell>
        </row>
        <row r="1648">
          <cell r="D1648" t="str">
            <v>Motor vehicles</v>
          </cell>
          <cell r="E1648" t="str">
            <v>Property - Other</v>
          </cell>
        </row>
        <row r="1649">
          <cell r="D1649" t="str">
            <v>Motor vehicles</v>
          </cell>
          <cell r="E1649" t="str">
            <v>Property - Other</v>
          </cell>
        </row>
        <row r="1650">
          <cell r="D1650" t="str">
            <v>Motor vehicles</v>
          </cell>
          <cell r="E1650" t="str">
            <v>Property - Other</v>
          </cell>
        </row>
        <row r="1651">
          <cell r="D1651" t="str">
            <v>Motor vehicles</v>
          </cell>
          <cell r="E1651" t="str">
            <v>Property - Other</v>
          </cell>
        </row>
        <row r="1652">
          <cell r="D1652" t="str">
            <v>Motor vehicles</v>
          </cell>
          <cell r="E1652" t="str">
            <v>Property - Other</v>
          </cell>
        </row>
        <row r="1656">
          <cell r="D1656" t="str">
            <v>Plant &amp; equipment</v>
          </cell>
          <cell r="E1656" t="str">
            <v>Property - Other</v>
          </cell>
        </row>
        <row r="1657">
          <cell r="D1657" t="str">
            <v>Plant &amp; equipment</v>
          </cell>
          <cell r="E1657" t="str">
            <v>Property - Other</v>
          </cell>
        </row>
        <row r="1658">
          <cell r="D1658" t="str">
            <v>Plant &amp; equipment</v>
          </cell>
          <cell r="E1658" t="str">
            <v>Property - Other</v>
          </cell>
        </row>
        <row r="1659">
          <cell r="D1659" t="str">
            <v>Plant &amp; equipment</v>
          </cell>
          <cell r="E1659" t="str">
            <v>Property - Other</v>
          </cell>
        </row>
        <row r="1660">
          <cell r="D1660" t="str">
            <v>Plant &amp; equipment</v>
          </cell>
          <cell r="E1660" t="str">
            <v>Property - Other</v>
          </cell>
        </row>
        <row r="1661">
          <cell r="D1661" t="str">
            <v>Plant &amp; equipment</v>
          </cell>
          <cell r="E1661" t="str">
            <v>Property - Other</v>
          </cell>
        </row>
        <row r="1665">
          <cell r="D1665" t="str">
            <v>Airfield Runway Apron Taxi</v>
          </cell>
          <cell r="E1665" t="str">
            <v>Property - Other</v>
          </cell>
        </row>
        <row r="1666">
          <cell r="D1666" t="str">
            <v>Airfield Runway Apron Taxi</v>
          </cell>
          <cell r="E1666" t="str">
            <v>Property - Other</v>
          </cell>
        </row>
        <row r="1667">
          <cell r="D1667" t="str">
            <v>Airfield Runway Apron Taxi</v>
          </cell>
          <cell r="E1667" t="str">
            <v>Property - Other</v>
          </cell>
        </row>
        <row r="1668">
          <cell r="D1668" t="str">
            <v>Airfield Runway Apron Taxi</v>
          </cell>
          <cell r="E1668" t="str">
            <v>Property - Other</v>
          </cell>
        </row>
        <row r="1669">
          <cell r="D1669" t="str">
            <v>Airfield Runway Apron Taxi</v>
          </cell>
          <cell r="E1669" t="str">
            <v>Property - Other</v>
          </cell>
        </row>
        <row r="1670">
          <cell r="D1670" t="str">
            <v>Airfield Runway Apron Taxi</v>
          </cell>
          <cell r="E1670" t="str">
            <v>Property - Other</v>
          </cell>
        </row>
        <row r="1674">
          <cell r="D1674" t="str">
            <v>Infrastructure</v>
          </cell>
          <cell r="E1674" t="str">
            <v>Property - Other</v>
          </cell>
        </row>
        <row r="1675">
          <cell r="D1675" t="str">
            <v>Infrastructure</v>
          </cell>
          <cell r="E1675" t="str">
            <v>Property - Other</v>
          </cell>
        </row>
        <row r="1676">
          <cell r="D1676" t="str">
            <v>Infrastructure</v>
          </cell>
          <cell r="E1676" t="str">
            <v>Property - Other</v>
          </cell>
        </row>
        <row r="1677">
          <cell r="D1677" t="str">
            <v>Infrastructure</v>
          </cell>
          <cell r="E1677" t="str">
            <v>Property - Other</v>
          </cell>
        </row>
        <row r="1678">
          <cell r="D1678" t="str">
            <v>Infrastructure</v>
          </cell>
          <cell r="E1678" t="str">
            <v>Property - Other</v>
          </cell>
        </row>
        <row r="1679">
          <cell r="D1679" t="str">
            <v>Infrastructure</v>
          </cell>
          <cell r="E1679" t="str">
            <v>Property - Other</v>
          </cell>
        </row>
        <row r="1683">
          <cell r="D1683" t="str">
            <v>Terminal facilities</v>
          </cell>
          <cell r="E1683" t="str">
            <v>Property - Other</v>
          </cell>
        </row>
        <row r="1684">
          <cell r="D1684" t="str">
            <v>Terminal facilities</v>
          </cell>
          <cell r="E1684" t="str">
            <v>Property - Other</v>
          </cell>
        </row>
        <row r="1685">
          <cell r="D1685" t="str">
            <v>Terminal facilities</v>
          </cell>
          <cell r="E1685" t="str">
            <v>Property - Other</v>
          </cell>
        </row>
        <row r="1686">
          <cell r="D1686" t="str">
            <v>Terminal facilities</v>
          </cell>
          <cell r="E1686" t="str">
            <v>Property - Other</v>
          </cell>
        </row>
        <row r="1687">
          <cell r="D1687" t="str">
            <v>Terminal facilities</v>
          </cell>
          <cell r="E1687" t="str">
            <v>Property - Other</v>
          </cell>
        </row>
        <row r="1688">
          <cell r="D1688" t="str">
            <v>Terminal facilities</v>
          </cell>
          <cell r="E1688" t="str">
            <v>Property - Other</v>
          </cell>
        </row>
        <row r="1692">
          <cell r="D1692" t="str">
            <v>Car parking</v>
          </cell>
          <cell r="E1692" t="str">
            <v>Property - Other</v>
          </cell>
        </row>
        <row r="1693">
          <cell r="D1693" t="str">
            <v>Car parking</v>
          </cell>
          <cell r="E1693" t="str">
            <v>Property - Other</v>
          </cell>
        </row>
        <row r="1694">
          <cell r="D1694" t="str">
            <v>Car parking</v>
          </cell>
          <cell r="E1694" t="str">
            <v>Property - Other</v>
          </cell>
        </row>
        <row r="1695">
          <cell r="D1695" t="str">
            <v>Car parking</v>
          </cell>
          <cell r="E1695" t="str">
            <v>Property - Other</v>
          </cell>
        </row>
        <row r="1696">
          <cell r="D1696" t="str">
            <v>Car parking</v>
          </cell>
          <cell r="E1696" t="str">
            <v>Property - Other</v>
          </cell>
        </row>
        <row r="1697">
          <cell r="D1697" t="str">
            <v>Car parking</v>
          </cell>
          <cell r="E1697" t="str">
            <v>Property - Other</v>
          </cell>
        </row>
        <row r="1701">
          <cell r="D1701" t="str">
            <v>Software</v>
          </cell>
          <cell r="E1701" t="str">
            <v>Property - Other</v>
          </cell>
        </row>
        <row r="1702">
          <cell r="D1702" t="str">
            <v>Software</v>
          </cell>
          <cell r="E1702" t="str">
            <v>Property - Other</v>
          </cell>
        </row>
        <row r="1703">
          <cell r="D1703" t="str">
            <v>Software</v>
          </cell>
          <cell r="E1703" t="str">
            <v>Property - Other</v>
          </cell>
        </row>
        <row r="1704">
          <cell r="D1704" t="str">
            <v>Software</v>
          </cell>
          <cell r="E1704" t="str">
            <v>Property - Other</v>
          </cell>
        </row>
        <row r="1705">
          <cell r="D1705" t="str">
            <v>Software</v>
          </cell>
          <cell r="E1705" t="str">
            <v>Property - Other</v>
          </cell>
        </row>
        <row r="1706">
          <cell r="D1706" t="str">
            <v>Software</v>
          </cell>
          <cell r="E1706" t="str">
            <v>Property - Other</v>
          </cell>
        </row>
        <row r="1710">
          <cell r="D1710" t="str">
            <v>[Blank FA 1]</v>
          </cell>
          <cell r="E1710" t="str">
            <v>Property - Other</v>
          </cell>
        </row>
        <row r="1711">
          <cell r="D1711" t="str">
            <v>[Blank FA 1]</v>
          </cell>
          <cell r="E1711" t="str">
            <v>Property - Other</v>
          </cell>
        </row>
        <row r="1712">
          <cell r="D1712" t="str">
            <v>[Blank FA 1]</v>
          </cell>
          <cell r="E1712" t="str">
            <v>Property - Other</v>
          </cell>
        </row>
        <row r="1713">
          <cell r="D1713" t="str">
            <v>[Blank FA 1]</v>
          </cell>
          <cell r="E1713" t="str">
            <v>Property - Other</v>
          </cell>
        </row>
        <row r="1714">
          <cell r="D1714" t="str">
            <v>[Blank FA 1]</v>
          </cell>
          <cell r="E1714" t="str">
            <v>Property - Other</v>
          </cell>
        </row>
        <row r="1715">
          <cell r="D1715" t="str">
            <v>[Blank FA 1]</v>
          </cell>
          <cell r="E1715" t="str">
            <v>Property - Other</v>
          </cell>
        </row>
        <row r="1719">
          <cell r="D1719" t="str">
            <v>[Blank FA 2]</v>
          </cell>
          <cell r="E1719" t="str">
            <v>Property - Other</v>
          </cell>
        </row>
        <row r="1720">
          <cell r="D1720" t="str">
            <v>[Blank FA 2]</v>
          </cell>
          <cell r="E1720" t="str">
            <v>Property - Other</v>
          </cell>
        </row>
        <row r="1721">
          <cell r="D1721" t="str">
            <v>[Blank FA 2]</v>
          </cell>
          <cell r="E1721" t="str">
            <v>Property - Other</v>
          </cell>
        </row>
        <row r="1722">
          <cell r="D1722" t="str">
            <v>[Blank FA 2]</v>
          </cell>
          <cell r="E1722" t="str">
            <v>Property - Other</v>
          </cell>
        </row>
        <row r="1723">
          <cell r="D1723" t="str">
            <v>[Blank FA 2]</v>
          </cell>
          <cell r="E1723" t="str">
            <v>Property - Other</v>
          </cell>
        </row>
        <row r="1724">
          <cell r="D1724" t="str">
            <v>[Blank FA 2]</v>
          </cell>
          <cell r="E1724" t="str">
            <v>Property - Other</v>
          </cell>
        </row>
        <row r="1728">
          <cell r="D1728" t="str">
            <v>[Blank FA 3]</v>
          </cell>
          <cell r="E1728" t="str">
            <v>Property - Other</v>
          </cell>
        </row>
        <row r="1729">
          <cell r="D1729" t="str">
            <v>[Blank FA 3]</v>
          </cell>
          <cell r="E1729" t="str">
            <v>Property - Other</v>
          </cell>
        </row>
        <row r="1730">
          <cell r="D1730" t="str">
            <v>[Blank FA 3]</v>
          </cell>
          <cell r="E1730" t="str">
            <v>Property - Other</v>
          </cell>
        </row>
        <row r="1731">
          <cell r="D1731" t="str">
            <v>[Blank FA 3]</v>
          </cell>
          <cell r="E1731" t="str">
            <v>Property - Other</v>
          </cell>
        </row>
        <row r="1732">
          <cell r="D1732" t="str">
            <v>[Blank FA 3]</v>
          </cell>
          <cell r="E1732" t="str">
            <v>Property - Other</v>
          </cell>
        </row>
        <row r="1733">
          <cell r="D1733" t="str">
            <v>[Blank FA 3]</v>
          </cell>
          <cell r="E1733" t="str">
            <v>Property - Other</v>
          </cell>
        </row>
        <row r="1742">
          <cell r="D1742" t="str">
            <v>Land</v>
          </cell>
          <cell r="E1742" t="str">
            <v>Carpark</v>
          </cell>
        </row>
        <row r="1743">
          <cell r="D1743" t="str">
            <v>Land</v>
          </cell>
          <cell r="E1743" t="str">
            <v>Carpark</v>
          </cell>
        </row>
        <row r="1744">
          <cell r="D1744" t="str">
            <v>Land</v>
          </cell>
          <cell r="E1744" t="str">
            <v>Carpark</v>
          </cell>
        </row>
        <row r="1745">
          <cell r="D1745" t="str">
            <v>Land</v>
          </cell>
          <cell r="E1745" t="str">
            <v>Carpark</v>
          </cell>
        </row>
        <row r="1746">
          <cell r="D1746" t="str">
            <v>Land</v>
          </cell>
          <cell r="E1746" t="str">
            <v>Carpark</v>
          </cell>
        </row>
        <row r="1747">
          <cell r="D1747" t="str">
            <v>Land</v>
          </cell>
          <cell r="E1747" t="str">
            <v>Carpark</v>
          </cell>
        </row>
        <row r="1751">
          <cell r="D1751" t="str">
            <v>Buildings</v>
          </cell>
          <cell r="E1751" t="str">
            <v>Carpark</v>
          </cell>
        </row>
        <row r="1752">
          <cell r="D1752" t="str">
            <v>Buildings</v>
          </cell>
          <cell r="E1752" t="str">
            <v>Carpark</v>
          </cell>
        </row>
        <row r="1753">
          <cell r="D1753" t="str">
            <v>Buildings</v>
          </cell>
          <cell r="E1753" t="str">
            <v>Carpark</v>
          </cell>
        </row>
        <row r="1754">
          <cell r="D1754" t="str">
            <v>Buildings</v>
          </cell>
          <cell r="E1754" t="str">
            <v>Carpark</v>
          </cell>
        </row>
        <row r="1755">
          <cell r="D1755" t="str">
            <v>Buildings</v>
          </cell>
          <cell r="E1755" t="str">
            <v>Carpark</v>
          </cell>
        </row>
        <row r="1756">
          <cell r="D1756" t="str">
            <v>Buildings</v>
          </cell>
          <cell r="E1756" t="str">
            <v>Carpark</v>
          </cell>
        </row>
        <row r="1760">
          <cell r="D1760" t="str">
            <v>Computers &amp; Furniture</v>
          </cell>
          <cell r="E1760" t="str">
            <v>Carpark</v>
          </cell>
        </row>
        <row r="1761">
          <cell r="D1761" t="str">
            <v>Computers &amp; Furniture</v>
          </cell>
          <cell r="E1761" t="str">
            <v>Carpark</v>
          </cell>
        </row>
        <row r="1762">
          <cell r="D1762" t="str">
            <v>Computers &amp; Furniture</v>
          </cell>
          <cell r="E1762" t="str">
            <v>Carpark</v>
          </cell>
        </row>
        <row r="1763">
          <cell r="D1763" t="str">
            <v>Computers &amp; Furniture</v>
          </cell>
          <cell r="E1763" t="str">
            <v>Carpark</v>
          </cell>
        </row>
        <row r="1764">
          <cell r="D1764" t="str">
            <v>Computers &amp; Furniture</v>
          </cell>
          <cell r="E1764" t="str">
            <v>Carpark</v>
          </cell>
        </row>
        <row r="1765">
          <cell r="D1765" t="str">
            <v>Computers &amp; Furniture</v>
          </cell>
          <cell r="E1765" t="str">
            <v>Carpark</v>
          </cell>
        </row>
        <row r="1769">
          <cell r="D1769" t="str">
            <v>Motor vehicles</v>
          </cell>
          <cell r="E1769" t="str">
            <v>Carpark</v>
          </cell>
        </row>
        <row r="1770">
          <cell r="D1770" t="str">
            <v>Motor vehicles</v>
          </cell>
          <cell r="E1770" t="str">
            <v>Carpark</v>
          </cell>
        </row>
        <row r="1771">
          <cell r="D1771" t="str">
            <v>Motor vehicles</v>
          </cell>
          <cell r="E1771" t="str">
            <v>Carpark</v>
          </cell>
        </row>
        <row r="1772">
          <cell r="D1772" t="str">
            <v>Motor vehicles</v>
          </cell>
          <cell r="E1772" t="str">
            <v>Carpark</v>
          </cell>
        </row>
        <row r="1773">
          <cell r="D1773" t="str">
            <v>Motor vehicles</v>
          </cell>
          <cell r="E1773" t="str">
            <v>Carpark</v>
          </cell>
        </row>
        <row r="1774">
          <cell r="D1774" t="str">
            <v>Motor vehicles</v>
          </cell>
          <cell r="E1774" t="str">
            <v>Carpark</v>
          </cell>
        </row>
        <row r="1778">
          <cell r="D1778" t="str">
            <v>Plant &amp; equipment</v>
          </cell>
          <cell r="E1778" t="str">
            <v>Carpark</v>
          </cell>
        </row>
        <row r="1779">
          <cell r="D1779" t="str">
            <v>Plant &amp; equipment</v>
          </cell>
          <cell r="E1779" t="str">
            <v>Carpark</v>
          </cell>
        </row>
        <row r="1780">
          <cell r="D1780" t="str">
            <v>Plant &amp; equipment</v>
          </cell>
          <cell r="E1780" t="str">
            <v>Carpark</v>
          </cell>
        </row>
        <row r="1781">
          <cell r="D1781" t="str">
            <v>Plant &amp; equipment</v>
          </cell>
          <cell r="E1781" t="str">
            <v>Carpark</v>
          </cell>
        </row>
        <row r="1782">
          <cell r="D1782" t="str">
            <v>Plant &amp; equipment</v>
          </cell>
          <cell r="E1782" t="str">
            <v>Carpark</v>
          </cell>
        </row>
        <row r="1783">
          <cell r="D1783" t="str">
            <v>Plant &amp; equipment</v>
          </cell>
          <cell r="E1783" t="str">
            <v>Carpark</v>
          </cell>
        </row>
        <row r="1787">
          <cell r="D1787" t="str">
            <v>Airfield Runway Apron Taxi</v>
          </cell>
          <cell r="E1787" t="str">
            <v>Carpark</v>
          </cell>
        </row>
        <row r="1788">
          <cell r="D1788" t="str">
            <v>Airfield Runway Apron Taxi</v>
          </cell>
          <cell r="E1788" t="str">
            <v>Carpark</v>
          </cell>
        </row>
        <row r="1789">
          <cell r="D1789" t="str">
            <v>Airfield Runway Apron Taxi</v>
          </cell>
          <cell r="E1789" t="str">
            <v>Carpark</v>
          </cell>
        </row>
        <row r="1790">
          <cell r="D1790" t="str">
            <v>Airfield Runway Apron Taxi</v>
          </cell>
          <cell r="E1790" t="str">
            <v>Carpark</v>
          </cell>
        </row>
        <row r="1791">
          <cell r="D1791" t="str">
            <v>Airfield Runway Apron Taxi</v>
          </cell>
          <cell r="E1791" t="str">
            <v>Carpark</v>
          </cell>
        </row>
        <row r="1792">
          <cell r="D1792" t="str">
            <v>Airfield Runway Apron Taxi</v>
          </cell>
          <cell r="E1792" t="str">
            <v>Carpark</v>
          </cell>
        </row>
        <row r="1796">
          <cell r="D1796" t="str">
            <v>Infrastructure</v>
          </cell>
          <cell r="E1796" t="str">
            <v>Carpark</v>
          </cell>
        </row>
        <row r="1797">
          <cell r="D1797" t="str">
            <v>Infrastructure</v>
          </cell>
          <cell r="E1797" t="str">
            <v>Carpark</v>
          </cell>
        </row>
        <row r="1798">
          <cell r="D1798" t="str">
            <v>Infrastructure</v>
          </cell>
          <cell r="E1798" t="str">
            <v>Carpark</v>
          </cell>
        </row>
        <row r="1799">
          <cell r="D1799" t="str">
            <v>Infrastructure</v>
          </cell>
          <cell r="E1799" t="str">
            <v>Carpark</v>
          </cell>
        </row>
        <row r="1800">
          <cell r="D1800" t="str">
            <v>Infrastructure</v>
          </cell>
          <cell r="E1800" t="str">
            <v>Carpark</v>
          </cell>
        </row>
        <row r="1801">
          <cell r="D1801" t="str">
            <v>Infrastructure</v>
          </cell>
          <cell r="E1801" t="str">
            <v>Carpark</v>
          </cell>
        </row>
        <row r="1805">
          <cell r="D1805" t="str">
            <v>Terminal facilities</v>
          </cell>
          <cell r="E1805" t="str">
            <v>Carpark</v>
          </cell>
        </row>
        <row r="1806">
          <cell r="D1806" t="str">
            <v>Terminal facilities</v>
          </cell>
          <cell r="E1806" t="str">
            <v>Carpark</v>
          </cell>
        </row>
        <row r="1807">
          <cell r="D1807" t="str">
            <v>Terminal facilities</v>
          </cell>
          <cell r="E1807" t="str">
            <v>Carpark</v>
          </cell>
        </row>
        <row r="1808">
          <cell r="D1808" t="str">
            <v>Terminal facilities</v>
          </cell>
          <cell r="E1808" t="str">
            <v>Carpark</v>
          </cell>
        </row>
        <row r="1809">
          <cell r="D1809" t="str">
            <v>Terminal facilities</v>
          </cell>
          <cell r="E1809" t="str">
            <v>Carpark</v>
          </cell>
        </row>
        <row r="1810">
          <cell r="D1810" t="str">
            <v>Terminal facilities</v>
          </cell>
          <cell r="E1810" t="str">
            <v>Carpark</v>
          </cell>
        </row>
        <row r="1814">
          <cell r="D1814" t="str">
            <v>Car parking</v>
          </cell>
          <cell r="E1814" t="str">
            <v>Carpark</v>
          </cell>
        </row>
        <row r="1815">
          <cell r="D1815" t="str">
            <v>Car parking</v>
          </cell>
          <cell r="E1815" t="str">
            <v>Carpark</v>
          </cell>
        </row>
        <row r="1816">
          <cell r="D1816" t="str">
            <v>Car parking</v>
          </cell>
          <cell r="E1816" t="str">
            <v>Carpark</v>
          </cell>
        </row>
        <row r="1817">
          <cell r="D1817" t="str">
            <v>Car parking</v>
          </cell>
          <cell r="E1817" t="str">
            <v>Carpark</v>
          </cell>
        </row>
        <row r="1818">
          <cell r="D1818" t="str">
            <v>Car parking</v>
          </cell>
          <cell r="E1818" t="str">
            <v>Carpark</v>
          </cell>
        </row>
        <row r="1819">
          <cell r="D1819" t="str">
            <v>Car parking</v>
          </cell>
          <cell r="E1819" t="str">
            <v>Carpark</v>
          </cell>
        </row>
        <row r="1823">
          <cell r="D1823" t="str">
            <v>Software</v>
          </cell>
          <cell r="E1823" t="str">
            <v>Carpark</v>
          </cell>
        </row>
        <row r="1824">
          <cell r="D1824" t="str">
            <v>Software</v>
          </cell>
          <cell r="E1824" t="str">
            <v>Carpark</v>
          </cell>
        </row>
        <row r="1825">
          <cell r="D1825" t="str">
            <v>Software</v>
          </cell>
          <cell r="E1825" t="str">
            <v>Carpark</v>
          </cell>
        </row>
        <row r="1826">
          <cell r="D1826" t="str">
            <v>Software</v>
          </cell>
          <cell r="E1826" t="str">
            <v>Carpark</v>
          </cell>
        </row>
        <row r="1827">
          <cell r="D1827" t="str">
            <v>Software</v>
          </cell>
          <cell r="E1827" t="str">
            <v>Carpark</v>
          </cell>
        </row>
        <row r="1828">
          <cell r="D1828" t="str">
            <v>Software</v>
          </cell>
          <cell r="E1828" t="str">
            <v>Carpark</v>
          </cell>
        </row>
        <row r="1832">
          <cell r="D1832" t="str">
            <v>[Blank FA 1]</v>
          </cell>
          <cell r="E1832" t="str">
            <v>Carpark</v>
          </cell>
        </row>
        <row r="1833">
          <cell r="D1833" t="str">
            <v>[Blank FA 1]</v>
          </cell>
          <cell r="E1833" t="str">
            <v>Carpark</v>
          </cell>
        </row>
        <row r="1834">
          <cell r="D1834" t="str">
            <v>[Blank FA 1]</v>
          </cell>
          <cell r="E1834" t="str">
            <v>Carpark</v>
          </cell>
        </row>
        <row r="1835">
          <cell r="D1835" t="str">
            <v>[Blank FA 1]</v>
          </cell>
          <cell r="E1835" t="str">
            <v>Carpark</v>
          </cell>
        </row>
        <row r="1836">
          <cell r="D1836" t="str">
            <v>[Blank FA 1]</v>
          </cell>
          <cell r="E1836" t="str">
            <v>Carpark</v>
          </cell>
        </row>
        <row r="1837">
          <cell r="D1837" t="str">
            <v>[Blank FA 1]</v>
          </cell>
          <cell r="E1837" t="str">
            <v>Carpark</v>
          </cell>
        </row>
        <row r="1841">
          <cell r="D1841" t="str">
            <v>[Blank FA 2]</v>
          </cell>
          <cell r="E1841" t="str">
            <v>Carpark</v>
          </cell>
        </row>
        <row r="1842">
          <cell r="D1842" t="str">
            <v>[Blank FA 2]</v>
          </cell>
          <cell r="E1842" t="str">
            <v>Carpark</v>
          </cell>
        </row>
        <row r="1843">
          <cell r="D1843" t="str">
            <v>[Blank FA 2]</v>
          </cell>
          <cell r="E1843" t="str">
            <v>Carpark</v>
          </cell>
        </row>
        <row r="1844">
          <cell r="D1844" t="str">
            <v>[Blank FA 2]</v>
          </cell>
          <cell r="E1844" t="str">
            <v>Carpark</v>
          </cell>
        </row>
        <row r="1845">
          <cell r="D1845" t="str">
            <v>[Blank FA 2]</v>
          </cell>
          <cell r="E1845" t="str">
            <v>Carpark</v>
          </cell>
        </row>
        <row r="1846">
          <cell r="D1846" t="str">
            <v>[Blank FA 2]</v>
          </cell>
          <cell r="E1846" t="str">
            <v>Carpark</v>
          </cell>
        </row>
        <row r="1850">
          <cell r="D1850" t="str">
            <v>[Blank FA 3]</v>
          </cell>
          <cell r="E1850" t="str">
            <v>Carpark</v>
          </cell>
        </row>
        <row r="1851">
          <cell r="D1851" t="str">
            <v>[Blank FA 3]</v>
          </cell>
          <cell r="E1851" t="str">
            <v>Carpark</v>
          </cell>
        </row>
        <row r="1852">
          <cell r="D1852" t="str">
            <v>[Blank FA 3]</v>
          </cell>
          <cell r="E1852" t="str">
            <v>Carpark</v>
          </cell>
        </row>
        <row r="1853">
          <cell r="D1853" t="str">
            <v>[Blank FA 3]</v>
          </cell>
          <cell r="E1853" t="str">
            <v>Carpark</v>
          </cell>
        </row>
        <row r="1854">
          <cell r="D1854" t="str">
            <v>[Blank FA 3]</v>
          </cell>
          <cell r="E1854" t="str">
            <v>Carpark</v>
          </cell>
        </row>
        <row r="1855">
          <cell r="D1855" t="str">
            <v>[Blank FA 3]</v>
          </cell>
          <cell r="E1855" t="str">
            <v>Carpark</v>
          </cell>
        </row>
        <row r="1864">
          <cell r="D1864" t="str">
            <v>Land</v>
          </cell>
          <cell r="E1864" t="str">
            <v>Carpark</v>
          </cell>
        </row>
        <row r="1865">
          <cell r="D1865" t="str">
            <v>Land</v>
          </cell>
          <cell r="E1865" t="str">
            <v>Carpark</v>
          </cell>
        </row>
        <row r="1866">
          <cell r="D1866" t="str">
            <v>Land</v>
          </cell>
          <cell r="E1866" t="str">
            <v>Carpark</v>
          </cell>
        </row>
        <row r="1867">
          <cell r="D1867" t="str">
            <v>Land</v>
          </cell>
          <cell r="E1867" t="str">
            <v>Carpark</v>
          </cell>
        </row>
        <row r="1868">
          <cell r="D1868" t="str">
            <v>Land</v>
          </cell>
          <cell r="E1868" t="str">
            <v>Carpark</v>
          </cell>
        </row>
        <row r="1869">
          <cell r="D1869" t="str">
            <v>Land</v>
          </cell>
          <cell r="E1869" t="str">
            <v>Carpark</v>
          </cell>
        </row>
        <row r="1873">
          <cell r="D1873" t="str">
            <v>Buildings</v>
          </cell>
          <cell r="E1873" t="str">
            <v>Carpark</v>
          </cell>
        </row>
        <row r="1874">
          <cell r="D1874" t="str">
            <v>Buildings</v>
          </cell>
          <cell r="E1874" t="str">
            <v>Carpark</v>
          </cell>
        </row>
        <row r="1875">
          <cell r="D1875" t="str">
            <v>Buildings</v>
          </cell>
          <cell r="E1875" t="str">
            <v>Carpark</v>
          </cell>
        </row>
        <row r="1876">
          <cell r="D1876" t="str">
            <v>Buildings</v>
          </cell>
          <cell r="E1876" t="str">
            <v>Carpark</v>
          </cell>
        </row>
        <row r="1877">
          <cell r="D1877" t="str">
            <v>Buildings</v>
          </cell>
          <cell r="E1877" t="str">
            <v>Carpark</v>
          </cell>
        </row>
        <row r="1878">
          <cell r="D1878" t="str">
            <v>Buildings</v>
          </cell>
          <cell r="E1878" t="str">
            <v>Carpark</v>
          </cell>
        </row>
        <row r="1882">
          <cell r="D1882" t="str">
            <v>Computers &amp; Furniture</v>
          </cell>
          <cell r="E1882" t="str">
            <v>Carpark</v>
          </cell>
        </row>
        <row r="1883">
          <cell r="D1883" t="str">
            <v>Computers &amp; Furniture</v>
          </cell>
          <cell r="E1883" t="str">
            <v>Carpark</v>
          </cell>
        </row>
        <row r="1884">
          <cell r="D1884" t="str">
            <v>Computers &amp; Furniture</v>
          </cell>
          <cell r="E1884" t="str">
            <v>Carpark</v>
          </cell>
        </row>
        <row r="1885">
          <cell r="D1885" t="str">
            <v>Computers &amp; Furniture</v>
          </cell>
          <cell r="E1885" t="str">
            <v>Carpark</v>
          </cell>
        </row>
        <row r="1886">
          <cell r="D1886" t="str">
            <v>Computers &amp; Furniture</v>
          </cell>
          <cell r="E1886" t="str">
            <v>Carpark</v>
          </cell>
        </row>
        <row r="1887">
          <cell r="D1887" t="str">
            <v>Computers &amp; Furniture</v>
          </cell>
          <cell r="E1887" t="str">
            <v>Carpark</v>
          </cell>
        </row>
        <row r="1891">
          <cell r="D1891" t="str">
            <v>Motor vehicles</v>
          </cell>
          <cell r="E1891" t="str">
            <v>Carpark</v>
          </cell>
        </row>
        <row r="1892">
          <cell r="D1892" t="str">
            <v>Motor vehicles</v>
          </cell>
          <cell r="E1892" t="str">
            <v>Carpark</v>
          </cell>
        </row>
        <row r="1893">
          <cell r="D1893" t="str">
            <v>Motor vehicles</v>
          </cell>
          <cell r="E1893" t="str">
            <v>Carpark</v>
          </cell>
        </row>
        <row r="1894">
          <cell r="D1894" t="str">
            <v>Motor vehicles</v>
          </cell>
          <cell r="E1894" t="str">
            <v>Carpark</v>
          </cell>
        </row>
        <row r="1895">
          <cell r="D1895" t="str">
            <v>Motor vehicles</v>
          </cell>
          <cell r="E1895" t="str">
            <v>Carpark</v>
          </cell>
        </row>
        <row r="1896">
          <cell r="D1896" t="str">
            <v>Motor vehicles</v>
          </cell>
          <cell r="E1896" t="str">
            <v>Carpark</v>
          </cell>
        </row>
        <row r="1900">
          <cell r="D1900" t="str">
            <v>Plant &amp; equipment</v>
          </cell>
          <cell r="E1900" t="str">
            <v>Carpark</v>
          </cell>
        </row>
        <row r="1901">
          <cell r="D1901" t="str">
            <v>Plant &amp; equipment</v>
          </cell>
          <cell r="E1901" t="str">
            <v>Carpark</v>
          </cell>
        </row>
        <row r="1902">
          <cell r="D1902" t="str">
            <v>Plant &amp; equipment</v>
          </cell>
          <cell r="E1902" t="str">
            <v>Carpark</v>
          </cell>
        </row>
        <row r="1903">
          <cell r="D1903" t="str">
            <v>Plant &amp; equipment</v>
          </cell>
          <cell r="E1903" t="str">
            <v>Carpark</v>
          </cell>
        </row>
        <row r="1904">
          <cell r="D1904" t="str">
            <v>Plant &amp; equipment</v>
          </cell>
          <cell r="E1904" t="str">
            <v>Carpark</v>
          </cell>
        </row>
        <row r="1905">
          <cell r="D1905" t="str">
            <v>Plant &amp; equipment</v>
          </cell>
          <cell r="E1905" t="str">
            <v>Carpark</v>
          </cell>
        </row>
        <row r="1909">
          <cell r="D1909" t="str">
            <v>Airfield Runway Apron Taxi</v>
          </cell>
          <cell r="E1909" t="str">
            <v>Carpark</v>
          </cell>
        </row>
        <row r="1910">
          <cell r="D1910" t="str">
            <v>Airfield Runway Apron Taxi</v>
          </cell>
          <cell r="E1910" t="str">
            <v>Carpark</v>
          </cell>
        </row>
        <row r="1911">
          <cell r="D1911" t="str">
            <v>Airfield Runway Apron Taxi</v>
          </cell>
          <cell r="E1911" t="str">
            <v>Carpark</v>
          </cell>
        </row>
        <row r="1912">
          <cell r="D1912" t="str">
            <v>Airfield Runway Apron Taxi</v>
          </cell>
          <cell r="E1912" t="str">
            <v>Carpark</v>
          </cell>
        </row>
        <row r="1913">
          <cell r="D1913" t="str">
            <v>Airfield Runway Apron Taxi</v>
          </cell>
          <cell r="E1913" t="str">
            <v>Carpark</v>
          </cell>
        </row>
        <row r="1914">
          <cell r="D1914" t="str">
            <v>Airfield Runway Apron Taxi</v>
          </cell>
          <cell r="E1914" t="str">
            <v>Carpark</v>
          </cell>
        </row>
        <row r="1918">
          <cell r="D1918" t="str">
            <v>Infrastructure</v>
          </cell>
          <cell r="E1918" t="str">
            <v>Carpark</v>
          </cell>
        </row>
        <row r="1919">
          <cell r="D1919" t="str">
            <v>Infrastructure</v>
          </cell>
          <cell r="E1919" t="str">
            <v>Carpark</v>
          </cell>
        </row>
        <row r="1920">
          <cell r="D1920" t="str">
            <v>Infrastructure</v>
          </cell>
          <cell r="E1920" t="str">
            <v>Carpark</v>
          </cell>
        </row>
        <row r="1921">
          <cell r="D1921" t="str">
            <v>Infrastructure</v>
          </cell>
          <cell r="E1921" t="str">
            <v>Carpark</v>
          </cell>
        </row>
        <row r="1922">
          <cell r="D1922" t="str">
            <v>Infrastructure</v>
          </cell>
          <cell r="E1922" t="str">
            <v>Carpark</v>
          </cell>
        </row>
        <row r="1923">
          <cell r="D1923" t="str">
            <v>Infrastructure</v>
          </cell>
          <cell r="E1923" t="str">
            <v>Carpark</v>
          </cell>
        </row>
        <row r="1927">
          <cell r="D1927" t="str">
            <v>Terminal facilities</v>
          </cell>
          <cell r="E1927" t="str">
            <v>Carpark</v>
          </cell>
        </row>
        <row r="1928">
          <cell r="D1928" t="str">
            <v>Terminal facilities</v>
          </cell>
          <cell r="E1928" t="str">
            <v>Carpark</v>
          </cell>
        </row>
        <row r="1929">
          <cell r="D1929" t="str">
            <v>Terminal facilities</v>
          </cell>
          <cell r="E1929" t="str">
            <v>Carpark</v>
          </cell>
        </row>
        <row r="1930">
          <cell r="D1930" t="str">
            <v>Terminal facilities</v>
          </cell>
          <cell r="E1930" t="str">
            <v>Carpark</v>
          </cell>
        </row>
        <row r="1931">
          <cell r="D1931" t="str">
            <v>Terminal facilities</v>
          </cell>
          <cell r="E1931" t="str">
            <v>Carpark</v>
          </cell>
        </row>
        <row r="1932">
          <cell r="D1932" t="str">
            <v>Terminal facilities</v>
          </cell>
          <cell r="E1932" t="str">
            <v>Carpark</v>
          </cell>
        </row>
        <row r="1936">
          <cell r="D1936" t="str">
            <v>Car parking</v>
          </cell>
          <cell r="E1936" t="str">
            <v>Carpark</v>
          </cell>
        </row>
        <row r="1937">
          <cell r="D1937" t="str">
            <v>Car parking</v>
          </cell>
          <cell r="E1937" t="str">
            <v>Carpark</v>
          </cell>
        </row>
        <row r="1938">
          <cell r="D1938" t="str">
            <v>Car parking</v>
          </cell>
          <cell r="E1938" t="str">
            <v>Carpark</v>
          </cell>
        </row>
        <row r="1939">
          <cell r="D1939" t="str">
            <v>Car parking</v>
          </cell>
          <cell r="E1939" t="str">
            <v>Carpark</v>
          </cell>
        </row>
        <row r="1940">
          <cell r="D1940" t="str">
            <v>Car parking</v>
          </cell>
          <cell r="E1940" t="str">
            <v>Carpark</v>
          </cell>
        </row>
        <row r="1941">
          <cell r="D1941" t="str">
            <v>Car parking</v>
          </cell>
          <cell r="E1941" t="str">
            <v>Carpark</v>
          </cell>
        </row>
        <row r="1945">
          <cell r="D1945" t="str">
            <v>Software</v>
          </cell>
          <cell r="E1945" t="str">
            <v>Carpark</v>
          </cell>
        </row>
        <row r="1946">
          <cell r="D1946" t="str">
            <v>Software</v>
          </cell>
          <cell r="E1946" t="str">
            <v>Carpark</v>
          </cell>
        </row>
        <row r="1947">
          <cell r="D1947" t="str">
            <v>Software</v>
          </cell>
          <cell r="E1947" t="str">
            <v>Carpark</v>
          </cell>
        </row>
        <row r="1948">
          <cell r="D1948" t="str">
            <v>Software</v>
          </cell>
          <cell r="E1948" t="str">
            <v>Carpark</v>
          </cell>
        </row>
        <row r="1949">
          <cell r="D1949" t="str">
            <v>Software</v>
          </cell>
          <cell r="E1949" t="str">
            <v>Carpark</v>
          </cell>
        </row>
        <row r="1950">
          <cell r="D1950" t="str">
            <v>Software</v>
          </cell>
          <cell r="E1950" t="str">
            <v>Carpark</v>
          </cell>
        </row>
        <row r="1954">
          <cell r="D1954" t="str">
            <v>[Blank FA 1]</v>
          </cell>
          <cell r="E1954" t="str">
            <v>Carpark</v>
          </cell>
        </row>
        <row r="1955">
          <cell r="D1955" t="str">
            <v>[Blank FA 1]</v>
          </cell>
          <cell r="E1955" t="str">
            <v>Carpark</v>
          </cell>
        </row>
        <row r="1956">
          <cell r="D1956" t="str">
            <v>[Blank FA 1]</v>
          </cell>
          <cell r="E1956" t="str">
            <v>Carpark</v>
          </cell>
        </row>
        <row r="1957">
          <cell r="D1957" t="str">
            <v>[Blank FA 1]</v>
          </cell>
          <cell r="E1957" t="str">
            <v>Carpark</v>
          </cell>
        </row>
        <row r="1958">
          <cell r="D1958" t="str">
            <v>[Blank FA 1]</v>
          </cell>
          <cell r="E1958" t="str">
            <v>Carpark</v>
          </cell>
        </row>
        <row r="1959">
          <cell r="D1959" t="str">
            <v>[Blank FA 1]</v>
          </cell>
          <cell r="E1959" t="str">
            <v>Carpark</v>
          </cell>
        </row>
        <row r="1963">
          <cell r="D1963" t="str">
            <v>[Blank FA 2]</v>
          </cell>
          <cell r="E1963" t="str">
            <v>Carpark</v>
          </cell>
        </row>
        <row r="1964">
          <cell r="D1964" t="str">
            <v>[Blank FA 2]</v>
          </cell>
          <cell r="E1964" t="str">
            <v>Carpark</v>
          </cell>
        </row>
        <row r="1965">
          <cell r="D1965" t="str">
            <v>[Blank FA 2]</v>
          </cell>
          <cell r="E1965" t="str">
            <v>Carpark</v>
          </cell>
        </row>
        <row r="1966">
          <cell r="D1966" t="str">
            <v>[Blank FA 2]</v>
          </cell>
          <cell r="E1966" t="str">
            <v>Carpark</v>
          </cell>
        </row>
        <row r="1967">
          <cell r="D1967" t="str">
            <v>[Blank FA 2]</v>
          </cell>
          <cell r="E1967" t="str">
            <v>Carpark</v>
          </cell>
        </row>
        <row r="1968">
          <cell r="D1968" t="str">
            <v>[Blank FA 2]</v>
          </cell>
          <cell r="E1968" t="str">
            <v>Carpark</v>
          </cell>
        </row>
        <row r="1972">
          <cell r="D1972" t="str">
            <v>[Blank FA 3]</v>
          </cell>
          <cell r="E1972" t="str">
            <v>Carpark</v>
          </cell>
        </row>
        <row r="1973">
          <cell r="D1973" t="str">
            <v>[Blank FA 3]</v>
          </cell>
          <cell r="E1973" t="str">
            <v>Carpark</v>
          </cell>
        </row>
        <row r="1974">
          <cell r="D1974" t="str">
            <v>[Blank FA 3]</v>
          </cell>
          <cell r="E1974" t="str">
            <v>Carpark</v>
          </cell>
        </row>
        <row r="1975">
          <cell r="D1975" t="str">
            <v>[Blank FA 3]</v>
          </cell>
          <cell r="E1975" t="str">
            <v>Carpark</v>
          </cell>
        </row>
        <row r="1976">
          <cell r="D1976" t="str">
            <v>[Blank FA 3]</v>
          </cell>
          <cell r="E1976" t="str">
            <v>Carpark</v>
          </cell>
        </row>
        <row r="1977">
          <cell r="D1977" t="str">
            <v>[Blank FA 3]</v>
          </cell>
          <cell r="E1977" t="str">
            <v>Carpark</v>
          </cell>
        </row>
        <row r="1986">
          <cell r="D1986" t="str">
            <v>Land</v>
          </cell>
          <cell r="E1986" t="str">
            <v>Dedicated NZ Check-in-counter</v>
          </cell>
        </row>
        <row r="1987">
          <cell r="D1987" t="str">
            <v>Land</v>
          </cell>
          <cell r="E1987" t="str">
            <v>Dedicated NZ Check-in-counter</v>
          </cell>
        </row>
        <row r="1988">
          <cell r="D1988" t="str">
            <v>Land</v>
          </cell>
          <cell r="E1988" t="str">
            <v>Dedicated NZ Check-in-counter</v>
          </cell>
        </row>
        <row r="1989">
          <cell r="D1989" t="str">
            <v>Land</v>
          </cell>
          <cell r="E1989" t="str">
            <v>Dedicated NZ Check-in-counter</v>
          </cell>
        </row>
        <row r="1990">
          <cell r="D1990" t="str">
            <v>Land</v>
          </cell>
          <cell r="E1990" t="str">
            <v>Dedicated NZ Check-in-counter</v>
          </cell>
        </row>
        <row r="1991">
          <cell r="D1991" t="str">
            <v>Land</v>
          </cell>
          <cell r="E1991" t="str">
            <v>Dedicated NZ Check-in-counter</v>
          </cell>
        </row>
        <row r="1995">
          <cell r="D1995" t="str">
            <v>Buildings</v>
          </cell>
          <cell r="E1995" t="str">
            <v>Dedicated NZ Check-in-counter</v>
          </cell>
        </row>
        <row r="1996">
          <cell r="D1996" t="str">
            <v>Buildings</v>
          </cell>
          <cell r="E1996" t="str">
            <v>Dedicated NZ Check-in-counter</v>
          </cell>
        </row>
        <row r="1997">
          <cell r="D1997" t="str">
            <v>Buildings</v>
          </cell>
          <cell r="E1997" t="str">
            <v>Dedicated NZ Check-in-counter</v>
          </cell>
        </row>
        <row r="1998">
          <cell r="D1998" t="str">
            <v>Buildings</v>
          </cell>
          <cell r="E1998" t="str">
            <v>Dedicated NZ Check-in-counter</v>
          </cell>
        </row>
        <row r="1999">
          <cell r="D1999" t="str">
            <v>Buildings</v>
          </cell>
          <cell r="E1999" t="str">
            <v>Dedicated NZ Check-in-counter</v>
          </cell>
        </row>
        <row r="2000">
          <cell r="D2000" t="str">
            <v>Buildings</v>
          </cell>
          <cell r="E2000" t="str">
            <v>Dedicated NZ Check-in-counter</v>
          </cell>
        </row>
        <row r="2004">
          <cell r="D2004" t="str">
            <v>Computers &amp; Furniture</v>
          </cell>
          <cell r="E2004" t="str">
            <v>Dedicated NZ Check-in-counter</v>
          </cell>
        </row>
        <row r="2005">
          <cell r="D2005" t="str">
            <v>Computers &amp; Furniture</v>
          </cell>
          <cell r="E2005" t="str">
            <v>Dedicated NZ Check-in-counter</v>
          </cell>
        </row>
        <row r="2006">
          <cell r="D2006" t="str">
            <v>Computers &amp; Furniture</v>
          </cell>
          <cell r="E2006" t="str">
            <v>Dedicated NZ Check-in-counter</v>
          </cell>
        </row>
        <row r="2007">
          <cell r="D2007" t="str">
            <v>Computers &amp; Furniture</v>
          </cell>
          <cell r="E2007" t="str">
            <v>Dedicated NZ Check-in-counter</v>
          </cell>
        </row>
        <row r="2008">
          <cell r="D2008" t="str">
            <v>Computers &amp; Furniture</v>
          </cell>
          <cell r="E2008" t="str">
            <v>Dedicated NZ Check-in-counter</v>
          </cell>
        </row>
        <row r="2009">
          <cell r="D2009" t="str">
            <v>Computers &amp; Furniture</v>
          </cell>
          <cell r="E2009" t="str">
            <v>Dedicated NZ Check-in-counter</v>
          </cell>
        </row>
        <row r="2013">
          <cell r="D2013" t="str">
            <v>Motor vehicles</v>
          </cell>
          <cell r="E2013" t="str">
            <v>Dedicated NZ Check-in-counter</v>
          </cell>
        </row>
        <row r="2014">
          <cell r="D2014" t="str">
            <v>Motor vehicles</v>
          </cell>
          <cell r="E2014" t="str">
            <v>Dedicated NZ Check-in-counter</v>
          </cell>
        </row>
        <row r="2015">
          <cell r="D2015" t="str">
            <v>Motor vehicles</v>
          </cell>
          <cell r="E2015" t="str">
            <v>Dedicated NZ Check-in-counter</v>
          </cell>
        </row>
        <row r="2016">
          <cell r="D2016" t="str">
            <v>Motor vehicles</v>
          </cell>
          <cell r="E2016" t="str">
            <v>Dedicated NZ Check-in-counter</v>
          </cell>
        </row>
        <row r="2017">
          <cell r="D2017" t="str">
            <v>Motor vehicles</v>
          </cell>
          <cell r="E2017" t="str">
            <v>Dedicated NZ Check-in-counter</v>
          </cell>
        </row>
        <row r="2018">
          <cell r="D2018" t="str">
            <v>Motor vehicles</v>
          </cell>
          <cell r="E2018" t="str">
            <v>Dedicated NZ Check-in-counter</v>
          </cell>
        </row>
        <row r="2022">
          <cell r="D2022" t="str">
            <v>Plant &amp; equipment</v>
          </cell>
          <cell r="E2022" t="str">
            <v>Dedicated NZ Check-in-counter</v>
          </cell>
        </row>
        <row r="2023">
          <cell r="D2023" t="str">
            <v>Plant &amp; equipment</v>
          </cell>
          <cell r="E2023" t="str">
            <v>Dedicated NZ Check-in-counter</v>
          </cell>
        </row>
        <row r="2024">
          <cell r="D2024" t="str">
            <v>Plant &amp; equipment</v>
          </cell>
          <cell r="E2024" t="str">
            <v>Dedicated NZ Check-in-counter</v>
          </cell>
        </row>
        <row r="2025">
          <cell r="D2025" t="str">
            <v>Plant &amp; equipment</v>
          </cell>
          <cell r="E2025" t="str">
            <v>Dedicated NZ Check-in-counter</v>
          </cell>
        </row>
        <row r="2026">
          <cell r="D2026" t="str">
            <v>Plant &amp; equipment</v>
          </cell>
          <cell r="E2026" t="str">
            <v>Dedicated NZ Check-in-counter</v>
          </cell>
        </row>
        <row r="2027">
          <cell r="D2027" t="str">
            <v>Plant &amp; equipment</v>
          </cell>
          <cell r="E2027" t="str">
            <v>Dedicated NZ Check-in-counter</v>
          </cell>
        </row>
        <row r="2031">
          <cell r="D2031" t="str">
            <v>Airfield Runway Apron Taxi</v>
          </cell>
          <cell r="E2031" t="str">
            <v>Dedicated NZ Check-in-counter</v>
          </cell>
        </row>
        <row r="2032">
          <cell r="D2032" t="str">
            <v>Airfield Runway Apron Taxi</v>
          </cell>
          <cell r="E2032" t="str">
            <v>Dedicated NZ Check-in-counter</v>
          </cell>
        </row>
        <row r="2033">
          <cell r="D2033" t="str">
            <v>Airfield Runway Apron Taxi</v>
          </cell>
          <cell r="E2033" t="str">
            <v>Dedicated NZ Check-in-counter</v>
          </cell>
        </row>
        <row r="2034">
          <cell r="D2034" t="str">
            <v>Airfield Runway Apron Taxi</v>
          </cell>
          <cell r="E2034" t="str">
            <v>Dedicated NZ Check-in-counter</v>
          </cell>
        </row>
        <row r="2035">
          <cell r="D2035" t="str">
            <v>Airfield Runway Apron Taxi</v>
          </cell>
          <cell r="E2035" t="str">
            <v>Dedicated NZ Check-in-counter</v>
          </cell>
        </row>
        <row r="2036">
          <cell r="D2036" t="str">
            <v>Airfield Runway Apron Taxi</v>
          </cell>
          <cell r="E2036" t="str">
            <v>Dedicated NZ Check-in-counter</v>
          </cell>
        </row>
        <row r="2040">
          <cell r="D2040" t="str">
            <v>Infrastructure</v>
          </cell>
          <cell r="E2040" t="str">
            <v>Dedicated NZ Check-in-counter</v>
          </cell>
        </row>
        <row r="2041">
          <cell r="D2041" t="str">
            <v>Infrastructure</v>
          </cell>
          <cell r="E2041" t="str">
            <v>Dedicated NZ Check-in-counter</v>
          </cell>
        </row>
        <row r="2042">
          <cell r="D2042" t="str">
            <v>Infrastructure</v>
          </cell>
          <cell r="E2042" t="str">
            <v>Dedicated NZ Check-in-counter</v>
          </cell>
        </row>
        <row r="2043">
          <cell r="D2043" t="str">
            <v>Infrastructure</v>
          </cell>
          <cell r="E2043" t="str">
            <v>Dedicated NZ Check-in-counter</v>
          </cell>
        </row>
        <row r="2044">
          <cell r="D2044" t="str">
            <v>Infrastructure</v>
          </cell>
          <cell r="E2044" t="str">
            <v>Dedicated NZ Check-in-counter</v>
          </cell>
        </row>
        <row r="2045">
          <cell r="D2045" t="str">
            <v>Infrastructure</v>
          </cell>
          <cell r="E2045" t="str">
            <v>Dedicated NZ Check-in-counter</v>
          </cell>
        </row>
        <row r="2049">
          <cell r="D2049" t="str">
            <v>Terminal facilities</v>
          </cell>
          <cell r="E2049" t="str">
            <v>Dedicated NZ Check-in-counter</v>
          </cell>
        </row>
        <row r="2050">
          <cell r="D2050" t="str">
            <v>Terminal facilities</v>
          </cell>
          <cell r="E2050" t="str">
            <v>Dedicated NZ Check-in-counter</v>
          </cell>
        </row>
        <row r="2051">
          <cell r="D2051" t="str">
            <v>Terminal facilities</v>
          </cell>
          <cell r="E2051" t="str">
            <v>Dedicated NZ Check-in-counter</v>
          </cell>
        </row>
        <row r="2052">
          <cell r="D2052" t="str">
            <v>Terminal facilities</v>
          </cell>
          <cell r="E2052" t="str">
            <v>Dedicated NZ Check-in-counter</v>
          </cell>
        </row>
        <row r="2053">
          <cell r="D2053" t="str">
            <v>Terminal facilities</v>
          </cell>
          <cell r="E2053" t="str">
            <v>Dedicated NZ Check-in-counter</v>
          </cell>
        </row>
        <row r="2054">
          <cell r="D2054" t="str">
            <v>Terminal facilities</v>
          </cell>
          <cell r="E2054" t="str">
            <v>Dedicated NZ Check-in-counter</v>
          </cell>
        </row>
        <row r="2058">
          <cell r="D2058" t="str">
            <v>Car parking</v>
          </cell>
          <cell r="E2058" t="str">
            <v>Dedicated NZ Check-in-counter</v>
          </cell>
        </row>
        <row r="2059">
          <cell r="D2059" t="str">
            <v>Car parking</v>
          </cell>
          <cell r="E2059" t="str">
            <v>Dedicated NZ Check-in-counter</v>
          </cell>
        </row>
        <row r="2060">
          <cell r="D2060" t="str">
            <v>Car parking</v>
          </cell>
          <cell r="E2060" t="str">
            <v>Dedicated NZ Check-in-counter</v>
          </cell>
        </row>
        <row r="2061">
          <cell r="D2061" t="str">
            <v>Car parking</v>
          </cell>
          <cell r="E2061" t="str">
            <v>Dedicated NZ Check-in-counter</v>
          </cell>
        </row>
        <row r="2062">
          <cell r="D2062" t="str">
            <v>Car parking</v>
          </cell>
          <cell r="E2062" t="str">
            <v>Dedicated NZ Check-in-counter</v>
          </cell>
        </row>
        <row r="2063">
          <cell r="D2063" t="str">
            <v>Car parking</v>
          </cell>
          <cell r="E2063" t="str">
            <v>Dedicated NZ Check-in-counter</v>
          </cell>
        </row>
        <row r="2067">
          <cell r="D2067" t="str">
            <v>Software</v>
          </cell>
          <cell r="E2067" t="str">
            <v>Dedicated NZ Check-in-counter</v>
          </cell>
        </row>
        <row r="2068">
          <cell r="D2068" t="str">
            <v>Software</v>
          </cell>
          <cell r="E2068" t="str">
            <v>Dedicated NZ Check-in-counter</v>
          </cell>
        </row>
        <row r="2069">
          <cell r="D2069" t="str">
            <v>Software</v>
          </cell>
          <cell r="E2069" t="str">
            <v>Dedicated NZ Check-in-counter</v>
          </cell>
        </row>
        <row r="2070">
          <cell r="D2070" t="str">
            <v>Software</v>
          </cell>
          <cell r="E2070" t="str">
            <v>Dedicated NZ Check-in-counter</v>
          </cell>
        </row>
        <row r="2071">
          <cell r="D2071" t="str">
            <v>Software</v>
          </cell>
          <cell r="E2071" t="str">
            <v>Dedicated NZ Check-in-counter</v>
          </cell>
        </row>
        <row r="2072">
          <cell r="D2072" t="str">
            <v>Software</v>
          </cell>
          <cell r="E2072" t="str">
            <v>Dedicated NZ Check-in-counter</v>
          </cell>
        </row>
        <row r="2076">
          <cell r="D2076" t="str">
            <v>[Blank FA 1]</v>
          </cell>
          <cell r="E2076" t="str">
            <v>Dedicated NZ Check-in-counter</v>
          </cell>
        </row>
        <row r="2077">
          <cell r="D2077" t="str">
            <v>[Blank FA 1]</v>
          </cell>
          <cell r="E2077" t="str">
            <v>Dedicated NZ Check-in-counter</v>
          </cell>
        </row>
        <row r="2078">
          <cell r="D2078" t="str">
            <v>[Blank FA 1]</v>
          </cell>
          <cell r="E2078" t="str">
            <v>Dedicated NZ Check-in-counter</v>
          </cell>
        </row>
        <row r="2079">
          <cell r="D2079" t="str">
            <v>[Blank FA 1]</v>
          </cell>
          <cell r="E2079" t="str">
            <v>Dedicated NZ Check-in-counter</v>
          </cell>
        </row>
        <row r="2080">
          <cell r="D2080" t="str">
            <v>[Blank FA 1]</v>
          </cell>
          <cell r="E2080" t="str">
            <v>Dedicated NZ Check-in-counter</v>
          </cell>
        </row>
        <row r="2081">
          <cell r="D2081" t="str">
            <v>[Blank FA 1]</v>
          </cell>
          <cell r="E2081" t="str">
            <v>Dedicated NZ Check-in-counter</v>
          </cell>
        </row>
        <row r="2085">
          <cell r="D2085" t="str">
            <v>[Blank FA 2]</v>
          </cell>
          <cell r="E2085" t="str">
            <v>Dedicated NZ Check-in-counter</v>
          </cell>
        </row>
        <row r="2086">
          <cell r="D2086" t="str">
            <v>[Blank FA 2]</v>
          </cell>
          <cell r="E2086" t="str">
            <v>Dedicated NZ Check-in-counter</v>
          </cell>
        </row>
        <row r="2087">
          <cell r="D2087" t="str">
            <v>[Blank FA 2]</v>
          </cell>
          <cell r="E2087" t="str">
            <v>Dedicated NZ Check-in-counter</v>
          </cell>
        </row>
        <row r="2088">
          <cell r="D2088" t="str">
            <v>[Blank FA 2]</v>
          </cell>
          <cell r="E2088" t="str">
            <v>Dedicated NZ Check-in-counter</v>
          </cell>
        </row>
        <row r="2089">
          <cell r="D2089" t="str">
            <v>[Blank FA 2]</v>
          </cell>
          <cell r="E2089" t="str">
            <v>Dedicated NZ Check-in-counter</v>
          </cell>
        </row>
        <row r="2090">
          <cell r="D2090" t="str">
            <v>[Blank FA 2]</v>
          </cell>
          <cell r="E2090" t="str">
            <v>Dedicated NZ Check-in-counter</v>
          </cell>
        </row>
        <row r="2094">
          <cell r="D2094" t="str">
            <v>[Blank FA 3]</v>
          </cell>
          <cell r="E2094" t="str">
            <v>Dedicated NZ Check-in-counter</v>
          </cell>
        </row>
        <row r="2095">
          <cell r="D2095" t="str">
            <v>[Blank FA 3]</v>
          </cell>
          <cell r="E2095" t="str">
            <v>Dedicated NZ Check-in-counter</v>
          </cell>
        </row>
        <row r="2096">
          <cell r="D2096" t="str">
            <v>[Blank FA 3]</v>
          </cell>
          <cell r="E2096" t="str">
            <v>Dedicated NZ Check-in-counter</v>
          </cell>
        </row>
        <row r="2097">
          <cell r="D2097" t="str">
            <v>[Blank FA 3]</v>
          </cell>
          <cell r="E2097" t="str">
            <v>Dedicated NZ Check-in-counter</v>
          </cell>
        </row>
        <row r="2098">
          <cell r="D2098" t="str">
            <v>[Blank FA 3]</v>
          </cell>
          <cell r="E2098" t="str">
            <v>Dedicated NZ Check-in-counter</v>
          </cell>
        </row>
        <row r="2099">
          <cell r="D2099" t="str">
            <v>[Blank FA 3]</v>
          </cell>
          <cell r="E2099" t="str">
            <v>Dedicated NZ Check-in-counter</v>
          </cell>
        </row>
        <row r="2108">
          <cell r="D2108" t="str">
            <v>Land</v>
          </cell>
          <cell r="E2108" t="str">
            <v>Dedicated NZ Check-in-counter</v>
          </cell>
        </row>
        <row r="2109">
          <cell r="D2109" t="str">
            <v>Land</v>
          </cell>
          <cell r="E2109" t="str">
            <v>Dedicated NZ Check-in-counter</v>
          </cell>
        </row>
        <row r="2110">
          <cell r="D2110" t="str">
            <v>Land</v>
          </cell>
          <cell r="E2110" t="str">
            <v>Dedicated NZ Check-in-counter</v>
          </cell>
        </row>
        <row r="2111">
          <cell r="D2111" t="str">
            <v>Land</v>
          </cell>
          <cell r="E2111" t="str">
            <v>Dedicated NZ Check-in-counter</v>
          </cell>
        </row>
        <row r="2112">
          <cell r="D2112" t="str">
            <v>Land</v>
          </cell>
          <cell r="E2112" t="str">
            <v>Dedicated NZ Check-in-counter</v>
          </cell>
        </row>
        <row r="2113">
          <cell r="D2113" t="str">
            <v>Land</v>
          </cell>
          <cell r="E2113" t="str">
            <v>Dedicated NZ Check-in-counter</v>
          </cell>
        </row>
        <row r="2117">
          <cell r="D2117" t="str">
            <v>Buildings</v>
          </cell>
          <cell r="E2117" t="str">
            <v>Dedicated NZ Check-in-counter</v>
          </cell>
        </row>
        <row r="2118">
          <cell r="D2118" t="str">
            <v>Buildings</v>
          </cell>
          <cell r="E2118" t="str">
            <v>Dedicated NZ Check-in-counter</v>
          </cell>
        </row>
        <row r="2119">
          <cell r="D2119" t="str">
            <v>Buildings</v>
          </cell>
          <cell r="E2119" t="str">
            <v>Dedicated NZ Check-in-counter</v>
          </cell>
        </row>
        <row r="2120">
          <cell r="D2120" t="str">
            <v>Buildings</v>
          </cell>
          <cell r="E2120" t="str">
            <v>Dedicated NZ Check-in-counter</v>
          </cell>
        </row>
        <row r="2121">
          <cell r="D2121" t="str">
            <v>Buildings</v>
          </cell>
          <cell r="E2121" t="str">
            <v>Dedicated NZ Check-in-counter</v>
          </cell>
        </row>
        <row r="2122">
          <cell r="D2122" t="str">
            <v>Buildings</v>
          </cell>
          <cell r="E2122" t="str">
            <v>Dedicated NZ Check-in-counter</v>
          </cell>
        </row>
        <row r="2126">
          <cell r="D2126" t="str">
            <v>Computers &amp; Furniture</v>
          </cell>
          <cell r="E2126" t="str">
            <v>Dedicated NZ Check-in-counter</v>
          </cell>
        </row>
        <row r="2127">
          <cell r="D2127" t="str">
            <v>Computers &amp; Furniture</v>
          </cell>
          <cell r="E2127" t="str">
            <v>Dedicated NZ Check-in-counter</v>
          </cell>
        </row>
        <row r="2128">
          <cell r="D2128" t="str">
            <v>Computers &amp; Furniture</v>
          </cell>
          <cell r="E2128" t="str">
            <v>Dedicated NZ Check-in-counter</v>
          </cell>
        </row>
        <row r="2129">
          <cell r="D2129" t="str">
            <v>Computers &amp; Furniture</v>
          </cell>
          <cell r="E2129" t="str">
            <v>Dedicated NZ Check-in-counter</v>
          </cell>
        </row>
        <row r="2130">
          <cell r="D2130" t="str">
            <v>Computers &amp; Furniture</v>
          </cell>
          <cell r="E2130" t="str">
            <v>Dedicated NZ Check-in-counter</v>
          </cell>
        </row>
        <row r="2131">
          <cell r="D2131" t="str">
            <v>Computers &amp; Furniture</v>
          </cell>
          <cell r="E2131" t="str">
            <v>Dedicated NZ Check-in-counter</v>
          </cell>
        </row>
        <row r="2135">
          <cell r="D2135" t="str">
            <v>Motor vehicles</v>
          </cell>
          <cell r="E2135" t="str">
            <v>Dedicated NZ Check-in-counter</v>
          </cell>
        </row>
        <row r="2136">
          <cell r="D2136" t="str">
            <v>Motor vehicles</v>
          </cell>
          <cell r="E2136" t="str">
            <v>Dedicated NZ Check-in-counter</v>
          </cell>
        </row>
        <row r="2137">
          <cell r="D2137" t="str">
            <v>Motor vehicles</v>
          </cell>
          <cell r="E2137" t="str">
            <v>Dedicated NZ Check-in-counter</v>
          </cell>
        </row>
        <row r="2138">
          <cell r="D2138" t="str">
            <v>Motor vehicles</v>
          </cell>
          <cell r="E2138" t="str">
            <v>Dedicated NZ Check-in-counter</v>
          </cell>
        </row>
        <row r="2139">
          <cell r="D2139" t="str">
            <v>Motor vehicles</v>
          </cell>
          <cell r="E2139" t="str">
            <v>Dedicated NZ Check-in-counter</v>
          </cell>
        </row>
        <row r="2140">
          <cell r="D2140" t="str">
            <v>Motor vehicles</v>
          </cell>
          <cell r="E2140" t="str">
            <v>Dedicated NZ Check-in-counter</v>
          </cell>
        </row>
        <row r="2144">
          <cell r="D2144" t="str">
            <v>Plant &amp; equipment</v>
          </cell>
          <cell r="E2144" t="str">
            <v>Dedicated NZ Check-in-counter</v>
          </cell>
        </row>
        <row r="2145">
          <cell r="D2145" t="str">
            <v>Plant &amp; equipment</v>
          </cell>
          <cell r="E2145" t="str">
            <v>Dedicated NZ Check-in-counter</v>
          </cell>
        </row>
        <row r="2146">
          <cell r="D2146" t="str">
            <v>Plant &amp; equipment</v>
          </cell>
          <cell r="E2146" t="str">
            <v>Dedicated NZ Check-in-counter</v>
          </cell>
        </row>
        <row r="2147">
          <cell r="D2147" t="str">
            <v>Plant &amp; equipment</v>
          </cell>
          <cell r="E2147" t="str">
            <v>Dedicated NZ Check-in-counter</v>
          </cell>
        </row>
        <row r="2148">
          <cell r="D2148" t="str">
            <v>Plant &amp; equipment</v>
          </cell>
          <cell r="E2148" t="str">
            <v>Dedicated NZ Check-in-counter</v>
          </cell>
        </row>
        <row r="2149">
          <cell r="D2149" t="str">
            <v>Plant &amp; equipment</v>
          </cell>
          <cell r="E2149" t="str">
            <v>Dedicated NZ Check-in-counter</v>
          </cell>
        </row>
        <row r="2153">
          <cell r="D2153" t="str">
            <v>Airfield Runway Apron Taxi</v>
          </cell>
          <cell r="E2153" t="str">
            <v>Dedicated NZ Check-in-counter</v>
          </cell>
        </row>
        <row r="2154">
          <cell r="D2154" t="str">
            <v>Airfield Runway Apron Taxi</v>
          </cell>
          <cell r="E2154" t="str">
            <v>Dedicated NZ Check-in-counter</v>
          </cell>
        </row>
        <row r="2155">
          <cell r="D2155" t="str">
            <v>Airfield Runway Apron Taxi</v>
          </cell>
          <cell r="E2155" t="str">
            <v>Dedicated NZ Check-in-counter</v>
          </cell>
        </row>
        <row r="2156">
          <cell r="D2156" t="str">
            <v>Airfield Runway Apron Taxi</v>
          </cell>
          <cell r="E2156" t="str">
            <v>Dedicated NZ Check-in-counter</v>
          </cell>
        </row>
        <row r="2157">
          <cell r="D2157" t="str">
            <v>Airfield Runway Apron Taxi</v>
          </cell>
          <cell r="E2157" t="str">
            <v>Dedicated NZ Check-in-counter</v>
          </cell>
        </row>
        <row r="2158">
          <cell r="D2158" t="str">
            <v>Airfield Runway Apron Taxi</v>
          </cell>
          <cell r="E2158" t="str">
            <v>Dedicated NZ Check-in-counter</v>
          </cell>
        </row>
        <row r="2162">
          <cell r="D2162" t="str">
            <v>Infrastructure</v>
          </cell>
          <cell r="E2162" t="str">
            <v>Dedicated NZ Check-in-counter</v>
          </cell>
        </row>
        <row r="2163">
          <cell r="D2163" t="str">
            <v>Infrastructure</v>
          </cell>
          <cell r="E2163" t="str">
            <v>Dedicated NZ Check-in-counter</v>
          </cell>
        </row>
        <row r="2164">
          <cell r="D2164" t="str">
            <v>Infrastructure</v>
          </cell>
          <cell r="E2164" t="str">
            <v>Dedicated NZ Check-in-counter</v>
          </cell>
        </row>
        <row r="2165">
          <cell r="D2165" t="str">
            <v>Infrastructure</v>
          </cell>
          <cell r="E2165" t="str">
            <v>Dedicated NZ Check-in-counter</v>
          </cell>
        </row>
        <row r="2166">
          <cell r="D2166" t="str">
            <v>Infrastructure</v>
          </cell>
          <cell r="E2166" t="str">
            <v>Dedicated NZ Check-in-counter</v>
          </cell>
        </row>
        <row r="2167">
          <cell r="D2167" t="str">
            <v>Infrastructure</v>
          </cell>
          <cell r="E2167" t="str">
            <v>Dedicated NZ Check-in-counter</v>
          </cell>
        </row>
        <row r="2171">
          <cell r="D2171" t="str">
            <v>Terminal facilities</v>
          </cell>
          <cell r="E2171" t="str">
            <v>Dedicated NZ Check-in-counter</v>
          </cell>
        </row>
        <row r="2172">
          <cell r="D2172" t="str">
            <v>Terminal facilities</v>
          </cell>
          <cell r="E2172" t="str">
            <v>Dedicated NZ Check-in-counter</v>
          </cell>
        </row>
        <row r="2173">
          <cell r="D2173" t="str">
            <v>Terminal facilities</v>
          </cell>
          <cell r="E2173" t="str">
            <v>Dedicated NZ Check-in-counter</v>
          </cell>
        </row>
        <row r="2174">
          <cell r="D2174" t="str">
            <v>Terminal facilities</v>
          </cell>
          <cell r="E2174" t="str">
            <v>Dedicated NZ Check-in-counter</v>
          </cell>
        </row>
        <row r="2175">
          <cell r="D2175" t="str">
            <v>Terminal facilities</v>
          </cell>
          <cell r="E2175" t="str">
            <v>Dedicated NZ Check-in-counter</v>
          </cell>
        </row>
        <row r="2176">
          <cell r="D2176" t="str">
            <v>Terminal facilities</v>
          </cell>
          <cell r="E2176" t="str">
            <v>Dedicated NZ Check-in-counter</v>
          </cell>
        </row>
        <row r="2180">
          <cell r="D2180" t="str">
            <v>Car parking</v>
          </cell>
          <cell r="E2180" t="str">
            <v>Dedicated NZ Check-in-counter</v>
          </cell>
        </row>
        <row r="2181">
          <cell r="D2181" t="str">
            <v>Car parking</v>
          </cell>
          <cell r="E2181" t="str">
            <v>Dedicated NZ Check-in-counter</v>
          </cell>
        </row>
        <row r="2182">
          <cell r="D2182" t="str">
            <v>Car parking</v>
          </cell>
          <cell r="E2182" t="str">
            <v>Dedicated NZ Check-in-counter</v>
          </cell>
        </row>
        <row r="2183">
          <cell r="D2183" t="str">
            <v>Car parking</v>
          </cell>
          <cell r="E2183" t="str">
            <v>Dedicated NZ Check-in-counter</v>
          </cell>
        </row>
        <row r="2184">
          <cell r="D2184" t="str">
            <v>Car parking</v>
          </cell>
          <cell r="E2184" t="str">
            <v>Dedicated NZ Check-in-counter</v>
          </cell>
        </row>
        <row r="2185">
          <cell r="D2185" t="str">
            <v>Car parking</v>
          </cell>
          <cell r="E2185" t="str">
            <v>Dedicated NZ Check-in-counter</v>
          </cell>
        </row>
        <row r="2189">
          <cell r="D2189" t="str">
            <v>Software</v>
          </cell>
          <cell r="E2189" t="str">
            <v>Dedicated NZ Check-in-counter</v>
          </cell>
        </row>
        <row r="2190">
          <cell r="D2190" t="str">
            <v>Software</v>
          </cell>
          <cell r="E2190" t="str">
            <v>Dedicated NZ Check-in-counter</v>
          </cell>
        </row>
        <row r="2191">
          <cell r="D2191" t="str">
            <v>Software</v>
          </cell>
          <cell r="E2191" t="str">
            <v>Dedicated NZ Check-in-counter</v>
          </cell>
        </row>
        <row r="2192">
          <cell r="D2192" t="str">
            <v>Software</v>
          </cell>
          <cell r="E2192" t="str">
            <v>Dedicated NZ Check-in-counter</v>
          </cell>
        </row>
        <row r="2193">
          <cell r="D2193" t="str">
            <v>Software</v>
          </cell>
          <cell r="E2193" t="str">
            <v>Dedicated NZ Check-in-counter</v>
          </cell>
        </row>
        <row r="2194">
          <cell r="D2194" t="str">
            <v>Software</v>
          </cell>
          <cell r="E2194" t="str">
            <v>Dedicated NZ Check-in-counter</v>
          </cell>
        </row>
        <row r="2198">
          <cell r="D2198" t="str">
            <v>[Blank FA 1]</v>
          </cell>
          <cell r="E2198" t="str">
            <v>Dedicated NZ Check-in-counter</v>
          </cell>
        </row>
        <row r="2199">
          <cell r="D2199" t="str">
            <v>[Blank FA 1]</v>
          </cell>
          <cell r="E2199" t="str">
            <v>Dedicated NZ Check-in-counter</v>
          </cell>
        </row>
        <row r="2200">
          <cell r="D2200" t="str">
            <v>[Blank FA 1]</v>
          </cell>
          <cell r="E2200" t="str">
            <v>Dedicated NZ Check-in-counter</v>
          </cell>
        </row>
        <row r="2201">
          <cell r="D2201" t="str">
            <v>[Blank FA 1]</v>
          </cell>
          <cell r="E2201" t="str">
            <v>Dedicated NZ Check-in-counter</v>
          </cell>
        </row>
        <row r="2202">
          <cell r="D2202" t="str">
            <v>[Blank FA 1]</v>
          </cell>
          <cell r="E2202" t="str">
            <v>Dedicated NZ Check-in-counter</v>
          </cell>
        </row>
        <row r="2203">
          <cell r="D2203" t="str">
            <v>[Blank FA 1]</v>
          </cell>
          <cell r="E2203" t="str">
            <v>Dedicated NZ Check-in-counter</v>
          </cell>
        </row>
        <row r="2207">
          <cell r="D2207" t="str">
            <v>[Blank FA 2]</v>
          </cell>
          <cell r="E2207" t="str">
            <v>Dedicated NZ Check-in-counter</v>
          </cell>
        </row>
        <row r="2208">
          <cell r="D2208" t="str">
            <v>[Blank FA 2]</v>
          </cell>
          <cell r="E2208" t="str">
            <v>Dedicated NZ Check-in-counter</v>
          </cell>
        </row>
        <row r="2209">
          <cell r="D2209" t="str">
            <v>[Blank FA 2]</v>
          </cell>
          <cell r="E2209" t="str">
            <v>Dedicated NZ Check-in-counter</v>
          </cell>
        </row>
        <row r="2210">
          <cell r="D2210" t="str">
            <v>[Blank FA 2]</v>
          </cell>
          <cell r="E2210" t="str">
            <v>Dedicated NZ Check-in-counter</v>
          </cell>
        </row>
        <row r="2211">
          <cell r="D2211" t="str">
            <v>[Blank FA 2]</v>
          </cell>
          <cell r="E2211" t="str">
            <v>Dedicated NZ Check-in-counter</v>
          </cell>
        </row>
        <row r="2212">
          <cell r="D2212" t="str">
            <v>[Blank FA 2]</v>
          </cell>
          <cell r="E2212" t="str">
            <v>Dedicated NZ Check-in-counter</v>
          </cell>
        </row>
        <row r="2216">
          <cell r="D2216" t="str">
            <v>[Blank FA 3]</v>
          </cell>
          <cell r="E2216" t="str">
            <v>Dedicated NZ Check-in-counter</v>
          </cell>
        </row>
        <row r="2217">
          <cell r="D2217" t="str">
            <v>[Blank FA 3]</v>
          </cell>
          <cell r="E2217" t="str">
            <v>Dedicated NZ Check-in-counter</v>
          </cell>
        </row>
        <row r="2218">
          <cell r="D2218" t="str">
            <v>[Blank FA 3]</v>
          </cell>
          <cell r="E2218" t="str">
            <v>Dedicated NZ Check-in-counter</v>
          </cell>
        </row>
        <row r="2219">
          <cell r="D2219" t="str">
            <v>[Blank FA 3]</v>
          </cell>
          <cell r="E2219" t="str">
            <v>Dedicated NZ Check-in-counter</v>
          </cell>
        </row>
        <row r="2220">
          <cell r="D2220" t="str">
            <v>[Blank FA 3]</v>
          </cell>
          <cell r="E2220" t="str">
            <v>Dedicated NZ Check-in-counter</v>
          </cell>
        </row>
        <row r="2221">
          <cell r="D2221" t="str">
            <v>[Blank FA 3]</v>
          </cell>
          <cell r="E2221" t="str">
            <v>Dedicated NZ Check-in-counter</v>
          </cell>
        </row>
        <row r="2230">
          <cell r="D2230" t="str">
            <v>Land</v>
          </cell>
          <cell r="E2230" t="str">
            <v>Dedicated JQ Check-in-counter</v>
          </cell>
        </row>
        <row r="2231">
          <cell r="D2231" t="str">
            <v>Land</v>
          </cell>
          <cell r="E2231" t="str">
            <v>Dedicated JQ Check-in-counter</v>
          </cell>
        </row>
        <row r="2232">
          <cell r="D2232" t="str">
            <v>Land</v>
          </cell>
          <cell r="E2232" t="str">
            <v>Dedicated JQ Check-in-counter</v>
          </cell>
        </row>
        <row r="2233">
          <cell r="D2233" t="str">
            <v>Land</v>
          </cell>
          <cell r="E2233" t="str">
            <v>Dedicated JQ Check-in-counter</v>
          </cell>
        </row>
        <row r="2234">
          <cell r="D2234" t="str">
            <v>Land</v>
          </cell>
          <cell r="E2234" t="str">
            <v>Dedicated JQ Check-in-counter</v>
          </cell>
        </row>
        <row r="2235">
          <cell r="D2235" t="str">
            <v>Land</v>
          </cell>
          <cell r="E2235" t="str">
            <v>Dedicated JQ Check-in-counter</v>
          </cell>
        </row>
        <row r="2239">
          <cell r="D2239" t="str">
            <v>Buildings</v>
          </cell>
          <cell r="E2239" t="str">
            <v>Dedicated JQ Check-in-counter</v>
          </cell>
        </row>
        <row r="2240">
          <cell r="D2240" t="str">
            <v>Buildings</v>
          </cell>
          <cell r="E2240" t="str">
            <v>Dedicated JQ Check-in-counter</v>
          </cell>
        </row>
        <row r="2241">
          <cell r="D2241" t="str">
            <v>Buildings</v>
          </cell>
          <cell r="E2241" t="str">
            <v>Dedicated JQ Check-in-counter</v>
          </cell>
        </row>
        <row r="2242">
          <cell r="D2242" t="str">
            <v>Buildings</v>
          </cell>
          <cell r="E2242" t="str">
            <v>Dedicated JQ Check-in-counter</v>
          </cell>
        </row>
        <row r="2243">
          <cell r="D2243" t="str">
            <v>Buildings</v>
          </cell>
          <cell r="E2243" t="str">
            <v>Dedicated JQ Check-in-counter</v>
          </cell>
        </row>
        <row r="2244">
          <cell r="D2244" t="str">
            <v>Buildings</v>
          </cell>
          <cell r="E2244" t="str">
            <v>Dedicated JQ Check-in-counter</v>
          </cell>
        </row>
        <row r="2248">
          <cell r="D2248" t="str">
            <v>Computers &amp; Furniture</v>
          </cell>
          <cell r="E2248" t="str">
            <v>Dedicated JQ Check-in-counter</v>
          </cell>
        </row>
        <row r="2249">
          <cell r="D2249" t="str">
            <v>Computers &amp; Furniture</v>
          </cell>
          <cell r="E2249" t="str">
            <v>Dedicated JQ Check-in-counter</v>
          </cell>
        </row>
        <row r="2250">
          <cell r="D2250" t="str">
            <v>Computers &amp; Furniture</v>
          </cell>
          <cell r="E2250" t="str">
            <v>Dedicated JQ Check-in-counter</v>
          </cell>
        </row>
        <row r="2251">
          <cell r="D2251" t="str">
            <v>Computers &amp; Furniture</v>
          </cell>
          <cell r="E2251" t="str">
            <v>Dedicated JQ Check-in-counter</v>
          </cell>
        </row>
        <row r="2252">
          <cell r="D2252" t="str">
            <v>Computers &amp; Furniture</v>
          </cell>
          <cell r="E2252" t="str">
            <v>Dedicated JQ Check-in-counter</v>
          </cell>
        </row>
        <row r="2253">
          <cell r="D2253" t="str">
            <v>Computers &amp; Furniture</v>
          </cell>
          <cell r="E2253" t="str">
            <v>Dedicated JQ Check-in-counter</v>
          </cell>
        </row>
        <row r="2257">
          <cell r="D2257" t="str">
            <v>Motor vehicles</v>
          </cell>
          <cell r="E2257" t="str">
            <v>Dedicated JQ Check-in-counter</v>
          </cell>
        </row>
        <row r="2258">
          <cell r="D2258" t="str">
            <v>Motor vehicles</v>
          </cell>
          <cell r="E2258" t="str">
            <v>Dedicated JQ Check-in-counter</v>
          </cell>
        </row>
        <row r="2259">
          <cell r="D2259" t="str">
            <v>Motor vehicles</v>
          </cell>
          <cell r="E2259" t="str">
            <v>Dedicated JQ Check-in-counter</v>
          </cell>
        </row>
        <row r="2260">
          <cell r="D2260" t="str">
            <v>Motor vehicles</v>
          </cell>
          <cell r="E2260" t="str">
            <v>Dedicated JQ Check-in-counter</v>
          </cell>
        </row>
        <row r="2261">
          <cell r="D2261" t="str">
            <v>Motor vehicles</v>
          </cell>
          <cell r="E2261" t="str">
            <v>Dedicated JQ Check-in-counter</v>
          </cell>
        </row>
        <row r="2262">
          <cell r="D2262" t="str">
            <v>Motor vehicles</v>
          </cell>
          <cell r="E2262" t="str">
            <v>Dedicated JQ Check-in-counter</v>
          </cell>
        </row>
        <row r="2266">
          <cell r="D2266" t="str">
            <v>Plant &amp; equipment</v>
          </cell>
          <cell r="E2266" t="str">
            <v>Dedicated JQ Check-in-counter</v>
          </cell>
        </row>
        <row r="2267">
          <cell r="D2267" t="str">
            <v>Plant &amp; equipment</v>
          </cell>
          <cell r="E2267" t="str">
            <v>Dedicated JQ Check-in-counter</v>
          </cell>
        </row>
        <row r="2268">
          <cell r="D2268" t="str">
            <v>Plant &amp; equipment</v>
          </cell>
          <cell r="E2268" t="str">
            <v>Dedicated JQ Check-in-counter</v>
          </cell>
        </row>
        <row r="2269">
          <cell r="D2269" t="str">
            <v>Plant &amp; equipment</v>
          </cell>
          <cell r="E2269" t="str">
            <v>Dedicated JQ Check-in-counter</v>
          </cell>
        </row>
        <row r="2270">
          <cell r="D2270" t="str">
            <v>Plant &amp; equipment</v>
          </cell>
          <cell r="E2270" t="str">
            <v>Dedicated JQ Check-in-counter</v>
          </cell>
        </row>
        <row r="2271">
          <cell r="D2271" t="str">
            <v>Plant &amp; equipment</v>
          </cell>
          <cell r="E2271" t="str">
            <v>Dedicated JQ Check-in-counter</v>
          </cell>
        </row>
        <row r="2275">
          <cell r="D2275" t="str">
            <v>Airfield Runway Apron Taxi</v>
          </cell>
          <cell r="E2275" t="str">
            <v>Dedicated JQ Check-in-counter</v>
          </cell>
        </row>
        <row r="2276">
          <cell r="D2276" t="str">
            <v>Airfield Runway Apron Taxi</v>
          </cell>
          <cell r="E2276" t="str">
            <v>Dedicated JQ Check-in-counter</v>
          </cell>
        </row>
        <row r="2277">
          <cell r="D2277" t="str">
            <v>Airfield Runway Apron Taxi</v>
          </cell>
          <cell r="E2277" t="str">
            <v>Dedicated JQ Check-in-counter</v>
          </cell>
        </row>
        <row r="2278">
          <cell r="D2278" t="str">
            <v>Airfield Runway Apron Taxi</v>
          </cell>
          <cell r="E2278" t="str">
            <v>Dedicated JQ Check-in-counter</v>
          </cell>
        </row>
        <row r="2279">
          <cell r="D2279" t="str">
            <v>Airfield Runway Apron Taxi</v>
          </cell>
          <cell r="E2279" t="str">
            <v>Dedicated JQ Check-in-counter</v>
          </cell>
        </row>
        <row r="2280">
          <cell r="D2280" t="str">
            <v>Airfield Runway Apron Taxi</v>
          </cell>
          <cell r="E2280" t="str">
            <v>Dedicated JQ Check-in-counter</v>
          </cell>
        </row>
        <row r="2284">
          <cell r="D2284" t="str">
            <v>Infrastructure</v>
          </cell>
          <cell r="E2284" t="str">
            <v>Dedicated JQ Check-in-counter</v>
          </cell>
        </row>
        <row r="2285">
          <cell r="D2285" t="str">
            <v>Infrastructure</v>
          </cell>
          <cell r="E2285" t="str">
            <v>Dedicated JQ Check-in-counter</v>
          </cell>
        </row>
        <row r="2286">
          <cell r="D2286" t="str">
            <v>Infrastructure</v>
          </cell>
          <cell r="E2286" t="str">
            <v>Dedicated JQ Check-in-counter</v>
          </cell>
        </row>
        <row r="2287">
          <cell r="D2287" t="str">
            <v>Infrastructure</v>
          </cell>
          <cell r="E2287" t="str">
            <v>Dedicated JQ Check-in-counter</v>
          </cell>
        </row>
        <row r="2288">
          <cell r="D2288" t="str">
            <v>Infrastructure</v>
          </cell>
          <cell r="E2288" t="str">
            <v>Dedicated JQ Check-in-counter</v>
          </cell>
        </row>
        <row r="2289">
          <cell r="D2289" t="str">
            <v>Infrastructure</v>
          </cell>
          <cell r="E2289" t="str">
            <v>Dedicated JQ Check-in-counter</v>
          </cell>
        </row>
        <row r="2293">
          <cell r="D2293" t="str">
            <v>Terminal facilities</v>
          </cell>
          <cell r="E2293" t="str">
            <v>Dedicated JQ Check-in-counter</v>
          </cell>
        </row>
        <row r="2294">
          <cell r="D2294" t="str">
            <v>Terminal facilities</v>
          </cell>
          <cell r="E2294" t="str">
            <v>Dedicated JQ Check-in-counter</v>
          </cell>
        </row>
        <row r="2295">
          <cell r="D2295" t="str">
            <v>Terminal facilities</v>
          </cell>
          <cell r="E2295" t="str">
            <v>Dedicated JQ Check-in-counter</v>
          </cell>
        </row>
        <row r="2296">
          <cell r="D2296" t="str">
            <v>Terminal facilities</v>
          </cell>
          <cell r="E2296" t="str">
            <v>Dedicated JQ Check-in-counter</v>
          </cell>
        </row>
        <row r="2297">
          <cell r="D2297" t="str">
            <v>Terminal facilities</v>
          </cell>
          <cell r="E2297" t="str">
            <v>Dedicated JQ Check-in-counter</v>
          </cell>
        </row>
        <row r="2298">
          <cell r="D2298" t="str">
            <v>Terminal facilities</v>
          </cell>
          <cell r="E2298" t="str">
            <v>Dedicated JQ Check-in-counter</v>
          </cell>
        </row>
        <row r="2302">
          <cell r="D2302" t="str">
            <v>Car parking</v>
          </cell>
          <cell r="E2302" t="str">
            <v>Dedicated JQ Check-in-counter</v>
          </cell>
        </row>
        <row r="2303">
          <cell r="D2303" t="str">
            <v>Car parking</v>
          </cell>
          <cell r="E2303" t="str">
            <v>Dedicated JQ Check-in-counter</v>
          </cell>
        </row>
        <row r="2304">
          <cell r="D2304" t="str">
            <v>Car parking</v>
          </cell>
          <cell r="E2304" t="str">
            <v>Dedicated JQ Check-in-counter</v>
          </cell>
        </row>
        <row r="2305">
          <cell r="D2305" t="str">
            <v>Car parking</v>
          </cell>
          <cell r="E2305" t="str">
            <v>Dedicated JQ Check-in-counter</v>
          </cell>
        </row>
        <row r="2306">
          <cell r="D2306" t="str">
            <v>Car parking</v>
          </cell>
          <cell r="E2306" t="str">
            <v>Dedicated JQ Check-in-counter</v>
          </cell>
        </row>
        <row r="2307">
          <cell r="D2307" t="str">
            <v>Car parking</v>
          </cell>
          <cell r="E2307" t="str">
            <v>Dedicated JQ Check-in-counter</v>
          </cell>
        </row>
        <row r="2311">
          <cell r="D2311" t="str">
            <v>Software</v>
          </cell>
          <cell r="E2311" t="str">
            <v>Dedicated JQ Check-in-counter</v>
          </cell>
        </row>
        <row r="2312">
          <cell r="D2312" t="str">
            <v>Software</v>
          </cell>
          <cell r="E2312" t="str">
            <v>Dedicated JQ Check-in-counter</v>
          </cell>
        </row>
        <row r="2313">
          <cell r="D2313" t="str">
            <v>Software</v>
          </cell>
          <cell r="E2313" t="str">
            <v>Dedicated JQ Check-in-counter</v>
          </cell>
        </row>
        <row r="2314">
          <cell r="D2314" t="str">
            <v>Software</v>
          </cell>
          <cell r="E2314" t="str">
            <v>Dedicated JQ Check-in-counter</v>
          </cell>
        </row>
        <row r="2315">
          <cell r="D2315" t="str">
            <v>Software</v>
          </cell>
          <cell r="E2315" t="str">
            <v>Dedicated JQ Check-in-counter</v>
          </cell>
        </row>
        <row r="2316">
          <cell r="D2316" t="str">
            <v>Software</v>
          </cell>
          <cell r="E2316" t="str">
            <v>Dedicated JQ Check-in-counter</v>
          </cell>
        </row>
        <row r="2320">
          <cell r="D2320" t="str">
            <v>[Blank FA 1]</v>
          </cell>
          <cell r="E2320" t="str">
            <v>Dedicated JQ Check-in-counter</v>
          </cell>
        </row>
        <row r="2321">
          <cell r="D2321" t="str">
            <v>[Blank FA 1]</v>
          </cell>
          <cell r="E2321" t="str">
            <v>Dedicated JQ Check-in-counter</v>
          </cell>
        </row>
        <row r="2322">
          <cell r="D2322" t="str">
            <v>[Blank FA 1]</v>
          </cell>
          <cell r="E2322" t="str">
            <v>Dedicated JQ Check-in-counter</v>
          </cell>
        </row>
        <row r="2323">
          <cell r="D2323" t="str">
            <v>[Blank FA 1]</v>
          </cell>
          <cell r="E2323" t="str">
            <v>Dedicated JQ Check-in-counter</v>
          </cell>
        </row>
        <row r="2324">
          <cell r="D2324" t="str">
            <v>[Blank FA 1]</v>
          </cell>
          <cell r="E2324" t="str">
            <v>Dedicated JQ Check-in-counter</v>
          </cell>
        </row>
        <row r="2325">
          <cell r="D2325" t="str">
            <v>[Blank FA 1]</v>
          </cell>
          <cell r="E2325" t="str">
            <v>Dedicated JQ Check-in-counter</v>
          </cell>
        </row>
        <row r="2329">
          <cell r="D2329" t="str">
            <v>[Blank FA 2]</v>
          </cell>
          <cell r="E2329" t="str">
            <v>Dedicated JQ Check-in-counter</v>
          </cell>
        </row>
        <row r="2330">
          <cell r="D2330" t="str">
            <v>[Blank FA 2]</v>
          </cell>
          <cell r="E2330" t="str">
            <v>Dedicated JQ Check-in-counter</v>
          </cell>
        </row>
        <row r="2331">
          <cell r="D2331" t="str">
            <v>[Blank FA 2]</v>
          </cell>
          <cell r="E2331" t="str">
            <v>Dedicated JQ Check-in-counter</v>
          </cell>
        </row>
        <row r="2332">
          <cell r="D2332" t="str">
            <v>[Blank FA 2]</v>
          </cell>
          <cell r="E2332" t="str">
            <v>Dedicated JQ Check-in-counter</v>
          </cell>
        </row>
        <row r="2333">
          <cell r="D2333" t="str">
            <v>[Blank FA 2]</v>
          </cell>
          <cell r="E2333" t="str">
            <v>Dedicated JQ Check-in-counter</v>
          </cell>
        </row>
        <row r="2334">
          <cell r="D2334" t="str">
            <v>[Blank FA 2]</v>
          </cell>
          <cell r="E2334" t="str">
            <v>Dedicated JQ Check-in-counter</v>
          </cell>
        </row>
        <row r="2338">
          <cell r="D2338" t="str">
            <v>[Blank FA 3]</v>
          </cell>
          <cell r="E2338" t="str">
            <v>Dedicated JQ Check-in-counter</v>
          </cell>
        </row>
        <row r="2339">
          <cell r="D2339" t="str">
            <v>[Blank FA 3]</v>
          </cell>
          <cell r="E2339" t="str">
            <v>Dedicated JQ Check-in-counter</v>
          </cell>
        </row>
        <row r="2340">
          <cell r="D2340" t="str">
            <v>[Blank FA 3]</v>
          </cell>
          <cell r="E2340" t="str">
            <v>Dedicated JQ Check-in-counter</v>
          </cell>
        </row>
        <row r="2341">
          <cell r="D2341" t="str">
            <v>[Blank FA 3]</v>
          </cell>
          <cell r="E2341" t="str">
            <v>Dedicated JQ Check-in-counter</v>
          </cell>
        </row>
        <row r="2342">
          <cell r="D2342" t="str">
            <v>[Blank FA 3]</v>
          </cell>
          <cell r="E2342" t="str">
            <v>Dedicated JQ Check-in-counter</v>
          </cell>
        </row>
        <row r="2343">
          <cell r="D2343" t="str">
            <v>[Blank FA 3]</v>
          </cell>
          <cell r="E2343" t="str">
            <v>Dedicated JQ Check-in-counter</v>
          </cell>
        </row>
        <row r="2352">
          <cell r="D2352" t="str">
            <v>Land</v>
          </cell>
          <cell r="E2352" t="str">
            <v>Dedicated JQ Check-in-counter</v>
          </cell>
        </row>
        <row r="2353">
          <cell r="D2353" t="str">
            <v>Land</v>
          </cell>
          <cell r="E2353" t="str">
            <v>Dedicated JQ Check-in-counter</v>
          </cell>
        </row>
        <row r="2354">
          <cell r="D2354" t="str">
            <v>Land</v>
          </cell>
          <cell r="E2354" t="str">
            <v>Dedicated JQ Check-in-counter</v>
          </cell>
        </row>
        <row r="2355">
          <cell r="D2355" t="str">
            <v>Land</v>
          </cell>
          <cell r="E2355" t="str">
            <v>Dedicated JQ Check-in-counter</v>
          </cell>
        </row>
        <row r="2356">
          <cell r="D2356" t="str">
            <v>Land</v>
          </cell>
          <cell r="E2356" t="str">
            <v>Dedicated JQ Check-in-counter</v>
          </cell>
        </row>
        <row r="2357">
          <cell r="D2357" t="str">
            <v>Land</v>
          </cell>
          <cell r="E2357" t="str">
            <v>Dedicated JQ Check-in-counter</v>
          </cell>
        </row>
        <row r="2361">
          <cell r="D2361" t="str">
            <v>Buildings</v>
          </cell>
          <cell r="E2361" t="str">
            <v>Dedicated JQ Check-in-counter</v>
          </cell>
        </row>
        <row r="2362">
          <cell r="D2362" t="str">
            <v>Buildings</v>
          </cell>
          <cell r="E2362" t="str">
            <v>Dedicated JQ Check-in-counter</v>
          </cell>
        </row>
        <row r="2363">
          <cell r="D2363" t="str">
            <v>Buildings</v>
          </cell>
          <cell r="E2363" t="str">
            <v>Dedicated JQ Check-in-counter</v>
          </cell>
        </row>
        <row r="2364">
          <cell r="D2364" t="str">
            <v>Buildings</v>
          </cell>
          <cell r="E2364" t="str">
            <v>Dedicated JQ Check-in-counter</v>
          </cell>
        </row>
        <row r="2365">
          <cell r="D2365" t="str">
            <v>Buildings</v>
          </cell>
          <cell r="E2365" t="str">
            <v>Dedicated JQ Check-in-counter</v>
          </cell>
        </row>
        <row r="2366">
          <cell r="D2366" t="str">
            <v>Buildings</v>
          </cell>
          <cell r="E2366" t="str">
            <v>Dedicated JQ Check-in-counter</v>
          </cell>
        </row>
        <row r="2370">
          <cell r="D2370" t="str">
            <v>Computers &amp; Furniture</v>
          </cell>
          <cell r="E2370" t="str">
            <v>Dedicated JQ Check-in-counter</v>
          </cell>
        </row>
        <row r="2371">
          <cell r="D2371" t="str">
            <v>Computers &amp; Furniture</v>
          </cell>
          <cell r="E2371" t="str">
            <v>Dedicated JQ Check-in-counter</v>
          </cell>
        </row>
        <row r="2372">
          <cell r="D2372" t="str">
            <v>Computers &amp; Furniture</v>
          </cell>
          <cell r="E2372" t="str">
            <v>Dedicated JQ Check-in-counter</v>
          </cell>
        </row>
        <row r="2373">
          <cell r="D2373" t="str">
            <v>Computers &amp; Furniture</v>
          </cell>
          <cell r="E2373" t="str">
            <v>Dedicated JQ Check-in-counter</v>
          </cell>
        </row>
        <row r="2374">
          <cell r="D2374" t="str">
            <v>Computers &amp; Furniture</v>
          </cell>
          <cell r="E2374" t="str">
            <v>Dedicated JQ Check-in-counter</v>
          </cell>
        </row>
        <row r="2375">
          <cell r="D2375" t="str">
            <v>Computers &amp; Furniture</v>
          </cell>
          <cell r="E2375" t="str">
            <v>Dedicated JQ Check-in-counter</v>
          </cell>
        </row>
        <row r="2379">
          <cell r="D2379" t="str">
            <v>Motor vehicles</v>
          </cell>
          <cell r="E2379" t="str">
            <v>Dedicated JQ Check-in-counter</v>
          </cell>
        </row>
        <row r="2380">
          <cell r="D2380" t="str">
            <v>Motor vehicles</v>
          </cell>
          <cell r="E2380" t="str">
            <v>Dedicated JQ Check-in-counter</v>
          </cell>
        </row>
        <row r="2381">
          <cell r="D2381" t="str">
            <v>Motor vehicles</v>
          </cell>
          <cell r="E2381" t="str">
            <v>Dedicated JQ Check-in-counter</v>
          </cell>
        </row>
        <row r="2382">
          <cell r="D2382" t="str">
            <v>Motor vehicles</v>
          </cell>
          <cell r="E2382" t="str">
            <v>Dedicated JQ Check-in-counter</v>
          </cell>
        </row>
        <row r="2383">
          <cell r="D2383" t="str">
            <v>Motor vehicles</v>
          </cell>
          <cell r="E2383" t="str">
            <v>Dedicated JQ Check-in-counter</v>
          </cell>
        </row>
        <row r="2384">
          <cell r="D2384" t="str">
            <v>Motor vehicles</v>
          </cell>
          <cell r="E2384" t="str">
            <v>Dedicated JQ Check-in-counter</v>
          </cell>
        </row>
        <row r="2388">
          <cell r="D2388" t="str">
            <v>Plant &amp; equipment</v>
          </cell>
          <cell r="E2388" t="str">
            <v>Dedicated JQ Check-in-counter</v>
          </cell>
        </row>
        <row r="2389">
          <cell r="D2389" t="str">
            <v>Plant &amp; equipment</v>
          </cell>
          <cell r="E2389" t="str">
            <v>Dedicated JQ Check-in-counter</v>
          </cell>
        </row>
        <row r="2390">
          <cell r="D2390" t="str">
            <v>Plant &amp; equipment</v>
          </cell>
          <cell r="E2390" t="str">
            <v>Dedicated JQ Check-in-counter</v>
          </cell>
        </row>
        <row r="2391">
          <cell r="D2391" t="str">
            <v>Plant &amp; equipment</v>
          </cell>
          <cell r="E2391" t="str">
            <v>Dedicated JQ Check-in-counter</v>
          </cell>
        </row>
        <row r="2392">
          <cell r="D2392" t="str">
            <v>Plant &amp; equipment</v>
          </cell>
          <cell r="E2392" t="str">
            <v>Dedicated JQ Check-in-counter</v>
          </cell>
        </row>
        <row r="2393">
          <cell r="D2393" t="str">
            <v>Plant &amp; equipment</v>
          </cell>
          <cell r="E2393" t="str">
            <v>Dedicated JQ Check-in-counter</v>
          </cell>
        </row>
        <row r="2397">
          <cell r="D2397" t="str">
            <v>Airfield Runway Apron Taxi</v>
          </cell>
          <cell r="E2397" t="str">
            <v>Dedicated JQ Check-in-counter</v>
          </cell>
        </row>
        <row r="2398">
          <cell r="D2398" t="str">
            <v>Airfield Runway Apron Taxi</v>
          </cell>
          <cell r="E2398" t="str">
            <v>Dedicated JQ Check-in-counter</v>
          </cell>
        </row>
        <row r="2399">
          <cell r="D2399" t="str">
            <v>Airfield Runway Apron Taxi</v>
          </cell>
          <cell r="E2399" t="str">
            <v>Dedicated JQ Check-in-counter</v>
          </cell>
        </row>
        <row r="2400">
          <cell r="D2400" t="str">
            <v>Airfield Runway Apron Taxi</v>
          </cell>
          <cell r="E2400" t="str">
            <v>Dedicated JQ Check-in-counter</v>
          </cell>
        </row>
        <row r="2401">
          <cell r="D2401" t="str">
            <v>Airfield Runway Apron Taxi</v>
          </cell>
          <cell r="E2401" t="str">
            <v>Dedicated JQ Check-in-counter</v>
          </cell>
        </row>
        <row r="2402">
          <cell r="D2402" t="str">
            <v>Airfield Runway Apron Taxi</v>
          </cell>
          <cell r="E2402" t="str">
            <v>Dedicated JQ Check-in-counter</v>
          </cell>
        </row>
        <row r="2406">
          <cell r="D2406" t="str">
            <v>Infrastructure</v>
          </cell>
          <cell r="E2406" t="str">
            <v>Dedicated JQ Check-in-counter</v>
          </cell>
        </row>
        <row r="2407">
          <cell r="D2407" t="str">
            <v>Infrastructure</v>
          </cell>
          <cell r="E2407" t="str">
            <v>Dedicated JQ Check-in-counter</v>
          </cell>
        </row>
        <row r="2408">
          <cell r="D2408" t="str">
            <v>Infrastructure</v>
          </cell>
          <cell r="E2408" t="str">
            <v>Dedicated JQ Check-in-counter</v>
          </cell>
        </row>
        <row r="2409">
          <cell r="D2409" t="str">
            <v>Infrastructure</v>
          </cell>
          <cell r="E2409" t="str">
            <v>Dedicated JQ Check-in-counter</v>
          </cell>
        </row>
        <row r="2410">
          <cell r="D2410" t="str">
            <v>Infrastructure</v>
          </cell>
          <cell r="E2410" t="str">
            <v>Dedicated JQ Check-in-counter</v>
          </cell>
        </row>
        <row r="2411">
          <cell r="D2411" t="str">
            <v>Infrastructure</v>
          </cell>
          <cell r="E2411" t="str">
            <v>Dedicated JQ Check-in-counter</v>
          </cell>
        </row>
        <row r="2415">
          <cell r="D2415" t="str">
            <v>Terminal facilities</v>
          </cell>
          <cell r="E2415" t="str">
            <v>Dedicated JQ Check-in-counter</v>
          </cell>
        </row>
        <row r="2416">
          <cell r="D2416" t="str">
            <v>Terminal facilities</v>
          </cell>
          <cell r="E2416" t="str">
            <v>Dedicated JQ Check-in-counter</v>
          </cell>
        </row>
        <row r="2417">
          <cell r="D2417" t="str">
            <v>Terminal facilities</v>
          </cell>
          <cell r="E2417" t="str">
            <v>Dedicated JQ Check-in-counter</v>
          </cell>
        </row>
        <row r="2418">
          <cell r="D2418" t="str">
            <v>Terminal facilities</v>
          </cell>
          <cell r="E2418" t="str">
            <v>Dedicated JQ Check-in-counter</v>
          </cell>
        </row>
        <row r="2419">
          <cell r="D2419" t="str">
            <v>Terminal facilities</v>
          </cell>
          <cell r="E2419" t="str">
            <v>Dedicated JQ Check-in-counter</v>
          </cell>
        </row>
        <row r="2420">
          <cell r="D2420" t="str">
            <v>Terminal facilities</v>
          </cell>
          <cell r="E2420" t="str">
            <v>Dedicated JQ Check-in-counter</v>
          </cell>
        </row>
        <row r="2424">
          <cell r="D2424" t="str">
            <v>Car parking</v>
          </cell>
          <cell r="E2424" t="str">
            <v>Dedicated JQ Check-in-counter</v>
          </cell>
        </row>
        <row r="2425">
          <cell r="D2425" t="str">
            <v>Car parking</v>
          </cell>
          <cell r="E2425" t="str">
            <v>Dedicated JQ Check-in-counter</v>
          </cell>
        </row>
        <row r="2426">
          <cell r="D2426" t="str">
            <v>Car parking</v>
          </cell>
          <cell r="E2426" t="str">
            <v>Dedicated JQ Check-in-counter</v>
          </cell>
        </row>
        <row r="2427">
          <cell r="D2427" t="str">
            <v>Car parking</v>
          </cell>
          <cell r="E2427" t="str">
            <v>Dedicated JQ Check-in-counter</v>
          </cell>
        </row>
        <row r="2428">
          <cell r="D2428" t="str">
            <v>Car parking</v>
          </cell>
          <cell r="E2428" t="str">
            <v>Dedicated JQ Check-in-counter</v>
          </cell>
        </row>
        <row r="2429">
          <cell r="D2429" t="str">
            <v>Car parking</v>
          </cell>
          <cell r="E2429" t="str">
            <v>Dedicated JQ Check-in-counter</v>
          </cell>
        </row>
        <row r="2433">
          <cell r="D2433" t="str">
            <v>Software</v>
          </cell>
          <cell r="E2433" t="str">
            <v>Dedicated JQ Check-in-counter</v>
          </cell>
        </row>
        <row r="2434">
          <cell r="D2434" t="str">
            <v>Software</v>
          </cell>
          <cell r="E2434" t="str">
            <v>Dedicated JQ Check-in-counter</v>
          </cell>
        </row>
        <row r="2435">
          <cell r="D2435" t="str">
            <v>Software</v>
          </cell>
          <cell r="E2435" t="str">
            <v>Dedicated JQ Check-in-counter</v>
          </cell>
        </row>
        <row r="2436">
          <cell r="D2436" t="str">
            <v>Software</v>
          </cell>
          <cell r="E2436" t="str">
            <v>Dedicated JQ Check-in-counter</v>
          </cell>
        </row>
        <row r="2437">
          <cell r="D2437" t="str">
            <v>Software</v>
          </cell>
          <cell r="E2437" t="str">
            <v>Dedicated JQ Check-in-counter</v>
          </cell>
        </row>
        <row r="2438">
          <cell r="D2438" t="str">
            <v>Software</v>
          </cell>
          <cell r="E2438" t="str">
            <v>Dedicated JQ Check-in-counter</v>
          </cell>
        </row>
        <row r="2442">
          <cell r="D2442" t="str">
            <v>[Blank FA 1]</v>
          </cell>
          <cell r="E2442" t="str">
            <v>Dedicated JQ Check-in-counter</v>
          </cell>
        </row>
        <row r="2443">
          <cell r="D2443" t="str">
            <v>[Blank FA 1]</v>
          </cell>
          <cell r="E2443" t="str">
            <v>Dedicated JQ Check-in-counter</v>
          </cell>
        </row>
        <row r="2444">
          <cell r="D2444" t="str">
            <v>[Blank FA 1]</v>
          </cell>
          <cell r="E2444" t="str">
            <v>Dedicated JQ Check-in-counter</v>
          </cell>
        </row>
        <row r="2445">
          <cell r="D2445" t="str">
            <v>[Blank FA 1]</v>
          </cell>
          <cell r="E2445" t="str">
            <v>Dedicated JQ Check-in-counter</v>
          </cell>
        </row>
        <row r="2446">
          <cell r="D2446" t="str">
            <v>[Blank FA 1]</v>
          </cell>
          <cell r="E2446" t="str">
            <v>Dedicated JQ Check-in-counter</v>
          </cell>
        </row>
        <row r="2447">
          <cell r="D2447" t="str">
            <v>[Blank FA 1]</v>
          </cell>
          <cell r="E2447" t="str">
            <v>Dedicated JQ Check-in-counter</v>
          </cell>
        </row>
        <row r="2451">
          <cell r="D2451" t="str">
            <v>[Blank FA 2]</v>
          </cell>
          <cell r="E2451" t="str">
            <v>Dedicated JQ Check-in-counter</v>
          </cell>
        </row>
        <row r="2452">
          <cell r="D2452" t="str">
            <v>[Blank FA 2]</v>
          </cell>
          <cell r="E2452" t="str">
            <v>Dedicated JQ Check-in-counter</v>
          </cell>
        </row>
        <row r="2453">
          <cell r="D2453" t="str">
            <v>[Blank FA 2]</v>
          </cell>
          <cell r="E2453" t="str">
            <v>Dedicated JQ Check-in-counter</v>
          </cell>
        </row>
        <row r="2454">
          <cell r="D2454" t="str">
            <v>[Blank FA 2]</v>
          </cell>
          <cell r="E2454" t="str">
            <v>Dedicated JQ Check-in-counter</v>
          </cell>
        </row>
        <row r="2455">
          <cell r="D2455" t="str">
            <v>[Blank FA 2]</v>
          </cell>
          <cell r="E2455" t="str">
            <v>Dedicated JQ Check-in-counter</v>
          </cell>
        </row>
        <row r="2456">
          <cell r="D2456" t="str">
            <v>[Blank FA 2]</v>
          </cell>
          <cell r="E2456" t="str">
            <v>Dedicated JQ Check-in-counter</v>
          </cell>
        </row>
        <row r="2460">
          <cell r="D2460" t="str">
            <v>[Blank FA 3]</v>
          </cell>
          <cell r="E2460" t="str">
            <v>Dedicated JQ Check-in-counter</v>
          </cell>
        </row>
        <row r="2461">
          <cell r="D2461" t="str">
            <v>[Blank FA 3]</v>
          </cell>
          <cell r="E2461" t="str">
            <v>Dedicated JQ Check-in-counter</v>
          </cell>
        </row>
        <row r="2462">
          <cell r="D2462" t="str">
            <v>[Blank FA 3]</v>
          </cell>
          <cell r="E2462" t="str">
            <v>Dedicated JQ Check-in-counter</v>
          </cell>
        </row>
        <row r="2463">
          <cell r="D2463" t="str">
            <v>[Blank FA 3]</v>
          </cell>
          <cell r="E2463" t="str">
            <v>Dedicated JQ Check-in-counter</v>
          </cell>
        </row>
        <row r="2464">
          <cell r="D2464" t="str">
            <v>[Blank FA 3]</v>
          </cell>
          <cell r="E2464" t="str">
            <v>Dedicated JQ Check-in-counter</v>
          </cell>
        </row>
        <row r="2465">
          <cell r="D2465" t="str">
            <v>[Blank FA 3]</v>
          </cell>
          <cell r="E2465" t="str">
            <v>Dedicated JQ Check-in-counter</v>
          </cell>
        </row>
        <row r="2495">
          <cell r="K2495" t="str">
            <v>Asset_Class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Map"/>
      <sheetName val="table for final chart"/>
      <sheetName val="Pricing_and_Revenue 5 yr"/>
      <sheetName val="FY 13 price breakdown"/>
      <sheetName val="Scenarios"/>
      <sheetName val="Pricing_and_Revenue 4 yr 7 m"/>
      <sheetName val="Tax payable calculation"/>
      <sheetName val="analysis"/>
      <sheetName val="Summary"/>
      <sheetName val="Pricing_and_Revenue4yr7 target "/>
      <sheetName val="Pricing_and_Revenue4yr7 pos tax"/>
      <sheetName val="Volume &amp; CPI forecast"/>
      <sheetName val="Opex"/>
      <sheetName val="09-12 revaluation booked income"/>
      <sheetName val="Asset base"/>
      <sheetName val="WACC"/>
      <sheetName val="AIRFIELD"/>
      <sheetName val="TERM INTER"/>
      <sheetName val="TERM DOM - JET"/>
      <sheetName val="TERM DOM"/>
    </sheetNames>
    <sheetDataSet>
      <sheetData sheetId="0"/>
      <sheetData sheetId="1"/>
      <sheetData sheetId="2">
        <row r="9">
          <cell r="M9">
            <v>1000000</v>
          </cell>
        </row>
      </sheetData>
      <sheetData sheetId="3"/>
      <sheetData sheetId="4">
        <row r="12">
          <cell r="S12">
            <v>1</v>
          </cell>
        </row>
        <row r="18">
          <cell r="R18">
            <v>1</v>
          </cell>
        </row>
        <row r="24">
          <cell r="Q24">
            <v>1</v>
          </cell>
        </row>
      </sheetData>
      <sheetData sheetId="5">
        <row r="10">
          <cell r="M10">
            <v>0.58333333333333337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2">
          <cell r="Y32">
            <v>0.13554266666666667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 terminal charges"/>
      <sheetName val="Summary airfield(2) - hardcoded"/>
      <sheetName val="Summary"/>
      <sheetName val="Airfield"/>
    </sheetNames>
    <sheetDataSet>
      <sheetData sheetId="0" refreshError="1"/>
      <sheetData sheetId="1" refreshError="1"/>
      <sheetData sheetId="2" refreshError="1"/>
      <sheetData sheetId="3" refreshError="1">
        <row r="58">
          <cell r="N58">
            <v>3033</v>
          </cell>
          <cell r="O58">
            <v>3103</v>
          </cell>
          <cell r="P58">
            <v>3103</v>
          </cell>
          <cell r="Q58">
            <v>3103</v>
          </cell>
          <cell r="R58">
            <v>3111</v>
          </cell>
          <cell r="S58">
            <v>3103</v>
          </cell>
          <cell r="T58">
            <v>3103</v>
          </cell>
          <cell r="U58">
            <v>3103</v>
          </cell>
          <cell r="V58">
            <v>3111</v>
          </cell>
          <cell r="W58">
            <v>3103</v>
          </cell>
          <cell r="X58">
            <v>3163.5780042339829</v>
          </cell>
          <cell r="Y58">
            <v>3232.7180235608598</v>
          </cell>
          <cell r="Z58">
            <v>3310.7329709957853</v>
          </cell>
          <cell r="AA58">
            <v>3377.6000773471105</v>
          </cell>
          <cell r="AB58">
            <v>3443.4313203291836</v>
          </cell>
          <cell r="AC58">
            <v>3512.9907902085365</v>
          </cell>
          <cell r="AD58">
            <v>3587.7455801026831</v>
          </cell>
          <cell r="AE58">
            <v>3667.6216786335067</v>
          </cell>
          <cell r="AF58">
            <v>3750.7700825765364</v>
          </cell>
          <cell r="AG58">
            <v>3831.0917709562605</v>
          </cell>
          <cell r="AH58">
            <v>3914.4041937053407</v>
          </cell>
        </row>
        <row r="60">
          <cell r="N60">
            <v>1431104.9635192307</v>
          </cell>
          <cell r="O60">
            <v>1402917.3720384617</v>
          </cell>
          <cell r="P60">
            <v>1428649.5960384617</v>
          </cell>
          <cell r="Q60">
            <v>1454464.2697884617</v>
          </cell>
          <cell r="R60">
            <v>1485650.7394038464</v>
          </cell>
          <cell r="S60">
            <v>1500935.2052884619</v>
          </cell>
          <cell r="T60">
            <v>1521582.1837884618</v>
          </cell>
          <cell r="U60">
            <v>1536582.007038462</v>
          </cell>
          <cell r="V60">
            <v>1565264.0666346157</v>
          </cell>
          <cell r="W60">
            <v>1580497.0977884619</v>
          </cell>
          <cell r="X60">
            <v>1624085.6462988991</v>
          </cell>
          <cell r="Y60">
            <v>1666890.3453648647</v>
          </cell>
          <cell r="Z60">
            <v>1713161.4517643482</v>
          </cell>
          <cell r="AA60">
            <v>1756492.4720082814</v>
          </cell>
          <cell r="AB60">
            <v>1800147.3236312051</v>
          </cell>
          <cell r="AC60">
            <v>1845674.4289822038</v>
          </cell>
          <cell r="AD60">
            <v>1893564.8368564837</v>
          </cell>
          <cell r="AE60">
            <v>1943815.6836768603</v>
          </cell>
          <cell r="AF60">
            <v>1995855.160288159</v>
          </cell>
          <cell r="AG60">
            <v>2047748.3266411594</v>
          </cell>
          <cell r="AH60">
            <v>2101384.7503074473</v>
          </cell>
        </row>
        <row r="61">
          <cell r="N61">
            <v>389254.47400000063</v>
          </cell>
          <cell r="O61">
            <v>410571.20400000061</v>
          </cell>
          <cell r="P61">
            <v>436002.26900000061</v>
          </cell>
          <cell r="Q61">
            <v>436525.83400000061</v>
          </cell>
          <cell r="R61">
            <v>439388.62400000065</v>
          </cell>
          <cell r="S61">
            <v>443312.22400000063</v>
          </cell>
          <cell r="T61">
            <v>446373.98400000058</v>
          </cell>
          <cell r="U61">
            <v>450647.67400000058</v>
          </cell>
          <cell r="V61">
            <v>455448.68400000065</v>
          </cell>
          <cell r="W61">
            <v>457899.26400000061</v>
          </cell>
          <cell r="X61">
            <v>467723.40378130949</v>
          </cell>
          <cell r="Y61">
            <v>478754.14723776991</v>
          </cell>
          <cell r="Z61">
            <v>491200.81530789868</v>
          </cell>
          <cell r="AA61">
            <v>501868.93346896209</v>
          </cell>
          <cell r="AB61">
            <v>512371.78781908925</v>
          </cell>
          <cell r="AC61">
            <v>523469.45129498397</v>
          </cell>
          <cell r="AD61">
            <v>535395.98700457683</v>
          </cell>
          <cell r="AE61">
            <v>548139.58701762999</v>
          </cell>
          <cell r="AF61">
            <v>561405.25748806284</v>
          </cell>
          <cell r="AG61">
            <v>574219.94783863518</v>
          </cell>
          <cell r="AH61">
            <v>587511.78621282615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CONTROL"/>
      <sheetName val="SUMMARY OUTPUT"/>
      <sheetName val="Summary - 5 Yrs"/>
      <sheetName val="Summary 2"/>
      <sheetName val="Allowable Revenue NPV"/>
      <sheetName val="Summary_Stan"/>
      <sheetName val="presentation"/>
      <sheetName val="Capex - Input"/>
      <sheetName val="AC Revenue Input"/>
      <sheetName val="Revenue Pivot"/>
      <sheetName val="Macro Input"/>
      <sheetName val="FA DRIVER LIBRARY"/>
      <sheetName val="Opex Allocation Calcs"/>
      <sheetName val="Opex Engine - Inputs"/>
      <sheetName val="Demand Input"/>
      <sheetName val="Fin Stats - Input"/>
      <sheetName val="WACC - Input"/>
      <sheetName val="OUTPUT"/>
      <sheetName val="2008-2012 Asset Mov't Summary"/>
      <sheetName val="SQL Pivot Check"/>
      <sheetName val="FS SEGMENT SUMMARY"/>
      <sheetName val="FS AIRFIELD"/>
      <sheetName val="FS TERM INTER"/>
      <sheetName val="FS TERM DOM - JET"/>
      <sheetName val="FS TERM DOM - TP"/>
      <sheetName val="FS COMMERCIAL - TERM"/>
      <sheetName val="FS CHECKIN - COMMON"/>
      <sheetName val="FS NZ CHECKIN"/>
      <sheetName val="FS JQ CHECKIN"/>
      <sheetName val="FS PROPERTY - OTHER"/>
      <sheetName val="FS CARPARK"/>
      <sheetName val="Balance sheet -Data"/>
      <sheetName val="P&amp;L - Data"/>
      <sheetName val="P&amp;L Data Disclosure"/>
      <sheetName val="BP- FORECAST"/>
      <sheetName val="Airline Pricing - Assets 11"/>
      <sheetName val="Additions Disposals Reval "/>
      <sheetName val="DEP Check sheet Dominic"/>
      <sheetName val="SQL_Driver"/>
      <sheetName val="SQL_Depreciation"/>
      <sheetName val="Other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3">
          <cell r="Q33">
            <v>20262058.087872185</v>
          </cell>
          <cell r="R33">
            <v>20687561.307717498</v>
          </cell>
          <cell r="S33">
            <v>21122000.095179565</v>
          </cell>
          <cell r="T33">
            <v>21650050.097559053</v>
          </cell>
          <cell r="U33">
            <v>22191301.349998027</v>
          </cell>
          <cell r="V33">
            <v>22746083.883747976</v>
          </cell>
          <cell r="W33">
            <v>23314735.980841674</v>
          </cell>
          <cell r="X33">
            <v>23897604.380362712</v>
          </cell>
        </row>
        <row r="34">
          <cell r="Q34">
            <v>1485259.9999999995</v>
          </cell>
          <cell r="R34">
            <v>1524413.5130064285</v>
          </cell>
          <cell r="S34">
            <v>1564597.4289212925</v>
          </cell>
          <cell r="T34">
            <v>1605857.9509824417</v>
          </cell>
          <cell r="U34">
            <v>1648204.9426854406</v>
          </cell>
          <cell r="V34">
            <v>1691687.5363644166</v>
          </cell>
          <cell r="W34">
            <v>1730193.8270595372</v>
          </cell>
          <cell r="X34">
            <v>1764463.7188588483</v>
          </cell>
        </row>
        <row r="35">
          <cell r="Q35">
            <v>1385624.4</v>
          </cell>
          <cell r="R35">
            <v>1414722.5123999999</v>
          </cell>
          <cell r="S35">
            <v>1444431.6851603996</v>
          </cell>
          <cell r="T35">
            <v>1480542.4772894096</v>
          </cell>
          <cell r="U35">
            <v>1517556.0392216446</v>
          </cell>
          <cell r="V35">
            <v>1555494.9402021857</v>
          </cell>
          <cell r="W35">
            <v>1594382.3137072402</v>
          </cell>
          <cell r="X35">
            <v>1634241.8715499211</v>
          </cell>
        </row>
        <row r="36">
          <cell r="Q36">
            <v>10197456.503284719</v>
          </cell>
          <cell r="R36">
            <v>10411603.089853697</v>
          </cell>
          <cell r="S36">
            <v>10630246.754740624</v>
          </cell>
          <cell r="T36">
            <v>10896002.923609138</v>
          </cell>
          <cell r="U36">
            <v>11168402.996699365</v>
          </cell>
          <cell r="V36">
            <v>11447613.071616847</v>
          </cell>
          <cell r="W36">
            <v>11733803.398407267</v>
          </cell>
          <cell r="X36">
            <v>12027148.483367449</v>
          </cell>
        </row>
        <row r="37">
          <cell r="Q37">
            <v>3369917.8687017402</v>
          </cell>
          <cell r="R37">
            <v>3440686.1439444763</v>
          </cell>
          <cell r="S37">
            <v>3512940.55296731</v>
          </cell>
          <cell r="T37">
            <v>3600764.0667914925</v>
          </cell>
          <cell r="U37">
            <v>3690783.1684612795</v>
          </cell>
          <cell r="V37">
            <v>3783052.7476728112</v>
          </cell>
          <cell r="W37">
            <v>3877629.0663646311</v>
          </cell>
          <cell r="X37">
            <v>3974569.7930237465</v>
          </cell>
        </row>
        <row r="38">
          <cell r="Q38">
            <v>2682147.6387999998</v>
          </cell>
          <cell r="R38">
            <v>2738472.7392147994</v>
          </cell>
          <cell r="S38">
            <v>2795980.6667383099</v>
          </cell>
          <cell r="T38">
            <v>2865880.1834067674</v>
          </cell>
          <cell r="U38">
            <v>2937527.1879919362</v>
          </cell>
          <cell r="V38">
            <v>3010965.3676917343</v>
          </cell>
          <cell r="W38">
            <v>3086239.5018840274</v>
          </cell>
          <cell r="X38">
            <v>3163395.4894311279</v>
          </cell>
        </row>
        <row r="39">
          <cell r="Q39">
            <v>4135771.2776000006</v>
          </cell>
          <cell r="R39">
            <v>4222622.4744295999</v>
          </cell>
          <cell r="S39">
            <v>4311297.5463926215</v>
          </cell>
          <cell r="T39">
            <v>4419079.9850524366</v>
          </cell>
          <cell r="U39">
            <v>4529556.9846787471</v>
          </cell>
          <cell r="V39">
            <v>4642795.9092957154</v>
          </cell>
          <cell r="W39">
            <v>4758865.8070281083</v>
          </cell>
          <cell r="X39">
            <v>4877837.4522038102</v>
          </cell>
        </row>
        <row r="40">
          <cell r="Q40">
            <v>1188375</v>
          </cell>
          <cell r="R40">
            <v>1213330.875</v>
          </cell>
          <cell r="S40">
            <v>1238810.8233749999</v>
          </cell>
          <cell r="T40">
            <v>1269781.0939593748</v>
          </cell>
          <cell r="U40">
            <v>1301525.6213083591</v>
          </cell>
          <cell r="V40">
            <v>1334063.761841068</v>
          </cell>
          <cell r="W40">
            <v>1367415.3558870945</v>
          </cell>
          <cell r="X40">
            <v>1401600.7397842717</v>
          </cell>
        </row>
        <row r="41">
          <cell r="Q41">
            <v>3263505.7396</v>
          </cell>
          <cell r="R41">
            <v>3332039.3601315995</v>
          </cell>
          <cell r="S41">
            <v>3402012.1866943627</v>
          </cell>
          <cell r="T41">
            <v>3487062.4913617214</v>
          </cell>
          <cell r="U41">
            <v>3574239.053645764</v>
          </cell>
          <cell r="V41">
            <v>3663595.0299869077</v>
          </cell>
          <cell r="W41">
            <v>3755184.90573658</v>
          </cell>
          <cell r="X41">
            <v>3849064.528379994</v>
          </cell>
        </row>
        <row r="42">
          <cell r="Q42">
            <v>639870.18283982598</v>
          </cell>
          <cell r="R42">
            <v>726457.07824143535</v>
          </cell>
          <cell r="S42">
            <v>748250.79103908339</v>
          </cell>
          <cell r="T42">
            <v>770698.31463288818</v>
          </cell>
          <cell r="U42">
            <v>793819.263520426</v>
          </cell>
          <cell r="V42">
            <v>817633.84144855605</v>
          </cell>
          <cell r="W42">
            <v>842162.85704352986</v>
          </cell>
          <cell r="X42">
            <v>894500.88489145227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CONTROL"/>
      <sheetName val="SUMMARY OUTPUT"/>
      <sheetName val="Summary - 5 Yrs"/>
      <sheetName val="Summary 2"/>
      <sheetName val="Allowable Revenue NPV"/>
      <sheetName val="Summary_Stan"/>
      <sheetName val="presentation"/>
      <sheetName val="Capex - Input"/>
      <sheetName val="AC Revenue Input"/>
      <sheetName val="Revenue Pivot"/>
      <sheetName val="Macro Input"/>
      <sheetName val="FA DRIVER LIBRARY"/>
      <sheetName val="Opex Allocation Calcs"/>
      <sheetName val="Opex Engine - Inputs"/>
      <sheetName val="Demand Input"/>
      <sheetName val="Fin Stats - Input"/>
      <sheetName val="WACC - Input"/>
      <sheetName val="OUTPUT"/>
      <sheetName val="2008-2012 Asset Mov't Summary"/>
      <sheetName val="SQL Pivot Check"/>
      <sheetName val="FS SEGMENT SUMMARY"/>
      <sheetName val="FS AIRFIELD"/>
      <sheetName val="FS TERM INTER"/>
      <sheetName val="FS TERM DOM - JET"/>
      <sheetName val="FS TERM DOM - TP"/>
      <sheetName val="FS COMMERCIAL - TERM"/>
      <sheetName val="FS CHECKIN - COMMON"/>
      <sheetName val="FS NZ CHECKIN"/>
      <sheetName val="FS JQ CHECKIN"/>
      <sheetName val="FS PROPERTY - OTHER"/>
      <sheetName val="FS CARPARK"/>
      <sheetName val="Balance sheet -Data"/>
      <sheetName val="P&amp;L - Data"/>
      <sheetName val="P&amp;L Data Disclosure"/>
      <sheetName val="BP- FORECAST"/>
      <sheetName val="Airline Pricing - Assets 11"/>
      <sheetName val="Additions Disposals Reval "/>
      <sheetName val="DEP Check sheet Dominic"/>
      <sheetName val="SQL_Driver"/>
      <sheetName val="SQL_Depreciation"/>
      <sheetName val="Other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3">
          <cell r="Y33">
            <v>24495044.489871778</v>
          </cell>
          <cell r="Z33">
            <v>25107420.60211857</v>
          </cell>
          <cell r="AA33">
            <v>25735106.117171533</v>
          </cell>
          <cell r="AB33">
            <v>26378483.770100821</v>
          </cell>
          <cell r="AC33">
            <v>27037945.86435334</v>
          </cell>
          <cell r="AD33">
            <v>27713894.51096217</v>
          </cell>
          <cell r="AE33">
            <v>28406741.873736221</v>
          </cell>
          <cell r="AF33">
            <v>29116910.420579623</v>
          </cell>
          <cell r="AG33">
            <v>29844833.18109411</v>
          </cell>
          <cell r="AH33">
            <v>30590954.010621458</v>
          </cell>
        </row>
        <row r="34">
          <cell r="Y34">
            <v>1812115.5622006909</v>
          </cell>
          <cell r="Z34">
            <v>1864373.8324829778</v>
          </cell>
          <cell r="AA34">
            <v>1911898.9714118864</v>
          </cell>
          <cell r="AB34">
            <v>1959428.8913354797</v>
          </cell>
          <cell r="AC34">
            <v>2009203.7353519585</v>
          </cell>
          <cell r="AD34">
            <v>2061923.9369167343</v>
          </cell>
          <cell r="AE34">
            <v>2117570.4755106964</v>
          </cell>
          <cell r="AF34">
            <v>2175295.6327884449</v>
          </cell>
          <cell r="AG34">
            <v>2232266.8303326317</v>
          </cell>
          <cell r="AH34">
            <v>2291218.609523695</v>
          </cell>
        </row>
        <row r="35">
          <cell r="Y35">
            <v>1675097.918338669</v>
          </cell>
          <cell r="Z35">
            <v>1716975.3662971356</v>
          </cell>
          <cell r="AA35">
            <v>1759899.7504545639</v>
          </cell>
          <cell r="AB35">
            <v>1803897.2442159278</v>
          </cell>
          <cell r="AC35">
            <v>1848994.6753213259</v>
          </cell>
          <cell r="AD35">
            <v>1895219.5422043588</v>
          </cell>
          <cell r="AE35">
            <v>1942600.0307594677</v>
          </cell>
          <cell r="AF35">
            <v>1991165.0315284543</v>
          </cell>
          <cell r="AG35">
            <v>2040944.1573166654</v>
          </cell>
          <cell r="AH35">
            <v>2091967.7612495818</v>
          </cell>
        </row>
        <row r="36">
          <cell r="Y36">
            <v>12327827.195451634</v>
          </cell>
          <cell r="Z36">
            <v>12636022.875337923</v>
          </cell>
          <cell r="AA36">
            <v>12951923.44722137</v>
          </cell>
          <cell r="AB36">
            <v>13275721.533401903</v>
          </cell>
          <cell r="AC36">
            <v>13607614.571736949</v>
          </cell>
          <cell r="AD36">
            <v>13947804.936030371</v>
          </cell>
          <cell r="AE36">
            <v>14296500.05943113</v>
          </cell>
          <cell r="AF36">
            <v>14653912.560916906</v>
          </cell>
          <cell r="AG36">
            <v>15020260.374939827</v>
          </cell>
          <cell r="AH36">
            <v>15395766.884313321</v>
          </cell>
        </row>
        <row r="37">
          <cell r="Y37">
            <v>4073934.0378493397</v>
          </cell>
          <cell r="Z37">
            <v>4175782.3887955728</v>
          </cell>
          <cell r="AA37">
            <v>4280176.9485154618</v>
          </cell>
          <cell r="AB37">
            <v>4387181.3722283477</v>
          </cell>
          <cell r="AC37">
            <v>4496860.9065340562</v>
          </cell>
          <cell r="AD37">
            <v>4609282.4291974073</v>
          </cell>
          <cell r="AE37">
            <v>4724514.4899273422</v>
          </cell>
          <cell r="AF37">
            <v>4842627.3521755254</v>
          </cell>
          <cell r="AG37">
            <v>4963693.0359799135</v>
          </cell>
          <cell r="AH37">
            <v>5087785.3618794112</v>
          </cell>
        </row>
        <row r="38">
          <cell r="Y38">
            <v>3242480.3766669058</v>
          </cell>
          <cell r="Z38">
            <v>3323542.3860835782</v>
          </cell>
          <cell r="AA38">
            <v>3406630.9457356674</v>
          </cell>
          <cell r="AB38">
            <v>3491796.7193790586</v>
          </cell>
          <cell r="AC38">
            <v>3579091.6373635349</v>
          </cell>
          <cell r="AD38">
            <v>3668568.9282976231</v>
          </cell>
          <cell r="AE38">
            <v>3760283.1515050633</v>
          </cell>
          <cell r="AF38">
            <v>3854290.2302926895</v>
          </cell>
          <cell r="AG38">
            <v>3950647.4860500065</v>
          </cell>
          <cell r="AH38">
            <v>4049413.6732012564</v>
          </cell>
        </row>
        <row r="39">
          <cell r="Y39">
            <v>4999783.3885089047</v>
          </cell>
          <cell r="Z39">
            <v>5124777.9732216271</v>
          </cell>
          <cell r="AA39">
            <v>5252897.4225521674</v>
          </cell>
          <cell r="AB39">
            <v>5384219.8581159711</v>
          </cell>
          <cell r="AC39">
            <v>5518825.3545688698</v>
          </cell>
          <cell r="AD39">
            <v>5656795.988433091</v>
          </cell>
          <cell r="AE39">
            <v>5798215.8881439175</v>
          </cell>
          <cell r="AF39">
            <v>5943171.2853475148</v>
          </cell>
          <cell r="AG39">
            <v>6091750.5674812021</v>
          </cell>
          <cell r="AH39">
            <v>6244044.3316682316</v>
          </cell>
        </row>
        <row r="40">
          <cell r="Y40">
            <v>1436640.7582788784</v>
          </cell>
          <cell r="Z40">
            <v>1472556.7772358502</v>
          </cell>
          <cell r="AA40">
            <v>1509370.6966667464</v>
          </cell>
          <cell r="AB40">
            <v>1547104.964083415</v>
          </cell>
          <cell r="AC40">
            <v>1585782.5881855001</v>
          </cell>
          <cell r="AD40">
            <v>1625427.1528901374</v>
          </cell>
          <cell r="AE40">
            <v>1666062.8317123908</v>
          </cell>
          <cell r="AF40">
            <v>1707714.4025052004</v>
          </cell>
          <cell r="AG40">
            <v>1750407.2625678303</v>
          </cell>
          <cell r="AH40">
            <v>1794167.4441320258</v>
          </cell>
        </row>
        <row r="41">
          <cell r="Y41">
            <v>3945291.1415894935</v>
          </cell>
          <cell r="Z41">
            <v>4043923.4201292302</v>
          </cell>
          <cell r="AA41">
            <v>4145021.5056324606</v>
          </cell>
          <cell r="AB41">
            <v>4248647.043273272</v>
          </cell>
          <cell r="AC41">
            <v>4354863.2193551036</v>
          </cell>
          <cell r="AD41">
            <v>4463734.7998389807</v>
          </cell>
          <cell r="AE41">
            <v>4575328.1698349547</v>
          </cell>
          <cell r="AF41">
            <v>4689711.3740808284</v>
          </cell>
          <cell r="AG41">
            <v>4806954.1584328488</v>
          </cell>
          <cell r="AH41">
            <v>4927128.0123936692</v>
          </cell>
        </row>
        <row r="42">
          <cell r="Y42">
            <v>921335.91143819573</v>
          </cell>
          <cell r="Z42">
            <v>948975.98878134182</v>
          </cell>
          <cell r="AA42">
            <v>977445.26844478224</v>
          </cell>
          <cell r="AB42">
            <v>1006768.6264981254</v>
          </cell>
          <cell r="AC42">
            <v>1036971.6852930691</v>
          </cell>
          <cell r="AD42">
            <v>1068080.8358518614</v>
          </cell>
          <cell r="AE42">
            <v>1100123.2609274175</v>
          </cell>
          <cell r="AF42">
            <v>1133126.9587552398</v>
          </cell>
          <cell r="AG42">
            <v>1167120.7675178971</v>
          </cell>
          <cell r="AH42">
            <v>1202134.3905434341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-2012 Asset Mov't Revised"/>
      <sheetName val="2008-2012 Asset Mov't Workings"/>
      <sheetName val="Sheet1"/>
    </sheetNames>
    <sheetDataSet>
      <sheetData sheetId="0" refreshError="1">
        <row r="75">
          <cell r="R75">
            <v>78896231.928000003</v>
          </cell>
          <cell r="AA75">
            <v>179071.04473881173</v>
          </cell>
          <cell r="AJ75">
            <v>21287</v>
          </cell>
          <cell r="AS75">
            <v>291277.10326118825</v>
          </cell>
        </row>
        <row r="76">
          <cell r="R76">
            <v>1532216.5009612418</v>
          </cell>
          <cell r="AA76">
            <v>95971.753896297174</v>
          </cell>
          <cell r="AJ76">
            <v>3539.0293513789775</v>
          </cell>
          <cell r="AS76">
            <v>35988.117213077276</v>
          </cell>
        </row>
        <row r="77">
          <cell r="R77">
            <v>789283.64138773188</v>
          </cell>
          <cell r="AA77">
            <v>535155.67343262036</v>
          </cell>
          <cell r="AJ77">
            <v>26962.404147823356</v>
          </cell>
          <cell r="AS77">
            <v>270337.36175554444</v>
          </cell>
        </row>
        <row r="78">
          <cell r="R78">
            <v>3278838</v>
          </cell>
          <cell r="AA78">
            <v>0</v>
          </cell>
          <cell r="AJ78">
            <v>0</v>
          </cell>
          <cell r="AS78">
            <v>0</v>
          </cell>
        </row>
        <row r="79">
          <cell r="R79">
            <v>714219.18433053279</v>
          </cell>
          <cell r="AA79">
            <v>1043010.9184474562</v>
          </cell>
          <cell r="AJ79">
            <v>41333.054821975391</v>
          </cell>
          <cell r="AS79">
            <v>460098.2306231953</v>
          </cell>
        </row>
        <row r="80">
          <cell r="R80">
            <v>95048211.352828562</v>
          </cell>
          <cell r="AA80">
            <v>0</v>
          </cell>
          <cell r="AJ80">
            <v>0</v>
          </cell>
          <cell r="AS80">
            <v>0</v>
          </cell>
        </row>
        <row r="81">
          <cell r="R81">
            <v>7983090.97578853</v>
          </cell>
          <cell r="AA81">
            <v>68831.460954112423</v>
          </cell>
          <cell r="AJ81">
            <v>3697.9924799267815</v>
          </cell>
          <cell r="AS81">
            <v>42831.267094524832</v>
          </cell>
        </row>
        <row r="82">
          <cell r="R82">
            <v>0</v>
          </cell>
          <cell r="AA82">
            <v>81518053.507438153</v>
          </cell>
          <cell r="AJ82">
            <v>12674555.244039794</v>
          </cell>
          <cell r="AS82">
            <v>116608348.00098437</v>
          </cell>
        </row>
        <row r="83">
          <cell r="R83">
            <v>132348.09695488837</v>
          </cell>
          <cell r="AA83">
            <v>2035.9662050619804</v>
          </cell>
          <cell r="AJ83">
            <v>101.75113811440768</v>
          </cell>
          <cell r="AS83">
            <v>56653.908146312038</v>
          </cell>
        </row>
        <row r="90">
          <cell r="P90">
            <v>30113828.049936756</v>
          </cell>
          <cell r="Y90">
            <v>2682068.490731956</v>
          </cell>
          <cell r="AH90">
            <v>2660</v>
          </cell>
          <cell r="AQ90">
            <v>666283.53533129313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0.249977111117893"/>
  </sheetPr>
  <dimension ref="A1:B36"/>
  <sheetViews>
    <sheetView showGridLines="0" zoomScale="85" zoomScaleNormal="85" workbookViewId="0">
      <selection activeCell="F28" sqref="F28"/>
    </sheetView>
  </sheetViews>
  <sheetFormatPr defaultRowHeight="12.75"/>
  <cols>
    <col min="1" max="1" width="14" bestFit="1" customWidth="1"/>
    <col min="2" max="2" width="30.7109375" bestFit="1" customWidth="1"/>
    <col min="6" max="6" width="10.28515625" bestFit="1" customWidth="1"/>
    <col min="15" max="15" width="10.28515625" bestFit="1" customWidth="1"/>
  </cols>
  <sheetData>
    <row r="1" spans="1:2" s="85" customFormat="1">
      <c r="A1" s="445" t="s">
        <v>161</v>
      </c>
    </row>
    <row r="2" spans="1:2">
      <c r="A2" s="328" t="s">
        <v>162</v>
      </c>
      <c r="B2" s="328" t="s">
        <v>163</v>
      </c>
    </row>
    <row r="3" spans="1:2">
      <c r="A3" s="329" t="s">
        <v>164</v>
      </c>
      <c r="B3" s="329" t="s">
        <v>165</v>
      </c>
    </row>
    <row r="4" spans="1:2">
      <c r="A4" t="s">
        <v>166</v>
      </c>
      <c r="B4" t="s">
        <v>167</v>
      </c>
    </row>
    <row r="6" spans="1:2" s="85" customFormat="1">
      <c r="A6" s="445" t="s">
        <v>168</v>
      </c>
    </row>
    <row r="34" spans="1:1">
      <c r="A34" s="290"/>
    </row>
    <row r="35" spans="1:1">
      <c r="A35" s="526"/>
    </row>
    <row r="36" spans="1:1">
      <c r="A36" s="526"/>
    </row>
  </sheetData>
  <pageMargins left="0.7" right="0.7" top="0.75" bottom="0.75" header="0.3" footer="0.3"/>
  <customProperties>
    <customPr name="SSCSheetTrackingNo" r:id="rId1"/>
  </customProperti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theme="8"/>
    <pageSetUpPr fitToPage="1"/>
  </sheetPr>
  <dimension ref="A1:AA89"/>
  <sheetViews>
    <sheetView showGridLines="0" topLeftCell="F1" zoomScale="85" zoomScaleNormal="85" zoomScaleSheetLayoutView="70" workbookViewId="0">
      <pane ySplit="7" topLeftCell="A52" activePane="bottomLeft" state="frozen"/>
      <selection activeCell="E242" sqref="E242"/>
      <selection pane="bottomLeft" activeCell="G86" sqref="G86"/>
    </sheetView>
  </sheetViews>
  <sheetFormatPr defaultColWidth="0" defaultRowHeight="12.75" outlineLevelCol="1"/>
  <cols>
    <col min="1" max="5" width="1.7109375" hidden="1" customWidth="1" outlineLevel="1"/>
    <col min="6" max="6" width="1.7109375" bestFit="1" customWidth="1" collapsed="1"/>
    <col min="7" max="7" width="26.28515625" customWidth="1"/>
    <col min="8" max="8" width="1.7109375" customWidth="1"/>
    <col min="9" max="9" width="14.7109375" bestFit="1" customWidth="1"/>
    <col min="10" max="10" width="2.42578125" bestFit="1" customWidth="1"/>
    <col min="11" max="11" width="8.5703125" bestFit="1" customWidth="1"/>
    <col min="12" max="12" width="8.28515625" bestFit="1" customWidth="1"/>
    <col min="13" max="13" width="8.7109375" bestFit="1" customWidth="1"/>
    <col min="14" max="16" width="9.140625" bestFit="1" customWidth="1"/>
    <col min="17" max="23" width="8.5703125" bestFit="1" customWidth="1"/>
    <col min="24" max="24" width="9" bestFit="1" customWidth="1"/>
    <col min="25" max="25" width="11.140625" style="344" bestFit="1" customWidth="1"/>
    <col min="26" max="26" width="8.85546875" hidden="1" customWidth="1"/>
    <col min="27" max="27" width="14.28515625" hidden="1" customWidth="1"/>
    <col min="28" max="16384" width="8.85546875" hidden="1"/>
  </cols>
  <sheetData>
    <row r="1" spans="1:27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355"/>
    </row>
    <row r="2" spans="1:27" ht="21">
      <c r="A2" s="129"/>
      <c r="B2" s="129"/>
      <c r="C2" s="129"/>
      <c r="D2" s="129"/>
      <c r="E2" s="129"/>
      <c r="F2" s="129"/>
      <c r="G2" s="132" t="s">
        <v>27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355"/>
    </row>
    <row r="3" spans="1:27">
      <c r="A3" s="129"/>
      <c r="B3" s="129"/>
      <c r="C3" s="129"/>
      <c r="D3" s="129"/>
      <c r="E3" s="129"/>
      <c r="F3" s="129"/>
      <c r="G3" s="131">
        <v>0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55"/>
    </row>
    <row r="4" spans="1:27">
      <c r="A4" s="129"/>
      <c r="B4" s="129"/>
      <c r="C4" s="129"/>
      <c r="D4" s="129"/>
      <c r="E4" s="129"/>
      <c r="F4" s="129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355"/>
    </row>
    <row r="5" spans="1:27">
      <c r="A5" s="127">
        <v>1</v>
      </c>
      <c r="B5" s="127">
        <f t="shared" ref="B5:S5" si="0">A5+1</f>
        <v>2</v>
      </c>
      <c r="C5" s="127">
        <f t="shared" si="0"/>
        <v>3</v>
      </c>
      <c r="D5" s="127">
        <f t="shared" si="0"/>
        <v>4</v>
      </c>
      <c r="E5" s="127">
        <f t="shared" si="0"/>
        <v>5</v>
      </c>
      <c r="F5" s="127">
        <f t="shared" si="0"/>
        <v>6</v>
      </c>
      <c r="G5" s="127">
        <f t="shared" si="0"/>
        <v>7</v>
      </c>
      <c r="H5" s="127">
        <f t="shared" si="0"/>
        <v>8</v>
      </c>
      <c r="I5" s="127">
        <f t="shared" si="0"/>
        <v>9</v>
      </c>
      <c r="J5" s="127">
        <f t="shared" si="0"/>
        <v>10</v>
      </c>
      <c r="K5" s="127">
        <f t="shared" si="0"/>
        <v>11</v>
      </c>
      <c r="L5" s="127">
        <f t="shared" si="0"/>
        <v>12</v>
      </c>
      <c r="M5" s="127">
        <f t="shared" si="0"/>
        <v>13</v>
      </c>
      <c r="N5" s="127">
        <f t="shared" si="0"/>
        <v>14</v>
      </c>
      <c r="O5" s="127">
        <f t="shared" si="0"/>
        <v>15</v>
      </c>
      <c r="P5" s="127">
        <f t="shared" si="0"/>
        <v>16</v>
      </c>
      <c r="Q5" s="127">
        <f t="shared" si="0"/>
        <v>17</v>
      </c>
      <c r="R5" s="127">
        <f t="shared" si="0"/>
        <v>18</v>
      </c>
      <c r="S5" s="127">
        <f t="shared" si="0"/>
        <v>19</v>
      </c>
      <c r="T5" s="127">
        <f t="shared" ref="T5:Y5" si="1">S5+1</f>
        <v>20</v>
      </c>
      <c r="U5" s="127">
        <f t="shared" si="1"/>
        <v>21</v>
      </c>
      <c r="V5" s="127">
        <f t="shared" si="1"/>
        <v>22</v>
      </c>
      <c r="W5" s="127">
        <f t="shared" si="1"/>
        <v>23</v>
      </c>
      <c r="X5" s="127">
        <f t="shared" si="1"/>
        <v>24</v>
      </c>
      <c r="Y5" s="374">
        <f t="shared" si="1"/>
        <v>25</v>
      </c>
    </row>
    <row r="6" spans="1:27">
      <c r="A6" s="100"/>
      <c r="B6" s="100"/>
      <c r="C6" s="100"/>
      <c r="D6" s="100"/>
      <c r="E6" s="100"/>
      <c r="F6" s="100"/>
      <c r="G6" s="100"/>
      <c r="H6" s="100"/>
      <c r="I6" s="124"/>
      <c r="J6" s="100"/>
      <c r="K6" s="123">
        <f>'Volume &amp; CPI forecast'!K10</f>
        <v>39994</v>
      </c>
      <c r="L6" s="123">
        <f>'Volume &amp; CPI forecast'!L10</f>
        <v>40359</v>
      </c>
      <c r="M6" s="123">
        <f>'Volume &amp; CPI forecast'!M10</f>
        <v>40724</v>
      </c>
      <c r="N6" s="123">
        <f>'Volume &amp; CPI forecast'!N10</f>
        <v>41090</v>
      </c>
      <c r="O6" s="123">
        <f>'Volume &amp; CPI forecast'!O10</f>
        <v>41455</v>
      </c>
      <c r="P6" s="123">
        <f>'Volume &amp; CPI forecast'!P10</f>
        <v>41820</v>
      </c>
      <c r="Q6" s="123">
        <f>'Volume &amp; CPI forecast'!Q10</f>
        <v>42185</v>
      </c>
      <c r="R6" s="123">
        <f>'Volume &amp; CPI forecast'!R10</f>
        <v>42551</v>
      </c>
      <c r="S6" s="123">
        <f>'Volume &amp; CPI forecast'!S10</f>
        <v>42916</v>
      </c>
      <c r="T6" s="123">
        <f>'Volume &amp; CPI forecast'!T10</f>
        <v>43281</v>
      </c>
      <c r="U6" s="123">
        <f>'Volume &amp; CPI forecast'!U10</f>
        <v>43646</v>
      </c>
      <c r="V6" s="123">
        <f>'Volume &amp; CPI forecast'!V10</f>
        <v>44012</v>
      </c>
      <c r="W6" s="123">
        <f>'Volume &amp; CPI forecast'!W10</f>
        <v>44377</v>
      </c>
      <c r="X6" s="123">
        <f>'Volume &amp; CPI forecast'!X10</f>
        <v>44742</v>
      </c>
      <c r="Y6" s="342">
        <f>'Volume &amp; CPI forecast'!Y10</f>
        <v>45107</v>
      </c>
    </row>
    <row r="7" spans="1:27" ht="21">
      <c r="A7" s="100"/>
      <c r="B7" s="100"/>
      <c r="C7" s="100"/>
      <c r="D7" s="100"/>
      <c r="E7" s="100"/>
      <c r="F7" s="100" t="str">
        <f>IF(SUM(F13:F74)&lt;&gt;0,1," ")</f>
        <v xml:space="preserve"> </v>
      </c>
      <c r="G7" s="283" t="s">
        <v>9</v>
      </c>
      <c r="H7" s="44"/>
      <c r="I7" s="100"/>
      <c r="J7" s="100"/>
      <c r="K7" s="123" t="str">
        <f>'Volume &amp; CPI forecast'!K11</f>
        <v>Actual   $</v>
      </c>
      <c r="L7" s="123" t="str">
        <f>'Volume &amp; CPI forecast'!L11</f>
        <v>Actual   $</v>
      </c>
      <c r="M7" s="123" t="str">
        <f>'Volume &amp; CPI forecast'!M11</f>
        <v>Actual   $</v>
      </c>
      <c r="N7" s="123" t="str">
        <f>'Volume &amp; CPI forecast'!N11</f>
        <v>Bus Plan   $</v>
      </c>
      <c r="O7" s="123" t="str">
        <f>'Volume &amp; CPI forecast'!O11</f>
        <v>Bus Plan   $</v>
      </c>
      <c r="P7" s="123" t="str">
        <f>'Volume &amp; CPI forecast'!P11</f>
        <v>Bus Plan   $</v>
      </c>
      <c r="Q7" s="123" t="str">
        <f>'Volume &amp; CPI forecast'!Q11</f>
        <v>Forecast   $</v>
      </c>
      <c r="R7" s="123" t="str">
        <f>'Volume &amp; CPI forecast'!R11</f>
        <v>Forecast   $</v>
      </c>
      <c r="S7" s="123" t="str">
        <f>'Volume &amp; CPI forecast'!S11</f>
        <v>Forecast   $</v>
      </c>
      <c r="T7" s="123" t="str">
        <f>'Volume &amp; CPI forecast'!T11</f>
        <v>Forecast   $</v>
      </c>
      <c r="U7" s="123" t="str">
        <f>'Volume &amp; CPI forecast'!U11</f>
        <v>Forecast   $</v>
      </c>
      <c r="V7" s="123" t="str">
        <f>'Volume &amp; CPI forecast'!V11</f>
        <v>Forecast   $</v>
      </c>
      <c r="W7" s="123" t="str">
        <f>'Volume &amp; CPI forecast'!W11</f>
        <v>Forecast   $</v>
      </c>
      <c r="X7" s="123" t="str">
        <f>'Volume &amp; CPI forecast'!X11</f>
        <v>Forecast   $</v>
      </c>
      <c r="Y7" s="342" t="str">
        <f>'Volume &amp; CPI forecast'!Y11</f>
        <v>Terminal value</v>
      </c>
    </row>
    <row r="8" spans="1:27" ht="21">
      <c r="A8" s="100"/>
      <c r="B8" s="100"/>
      <c r="C8" s="100"/>
      <c r="D8" s="100"/>
      <c r="E8" s="100"/>
      <c r="F8" s="100"/>
      <c r="G8" s="283"/>
      <c r="H8" s="44"/>
      <c r="I8" s="100"/>
      <c r="J8" s="100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357"/>
    </row>
    <row r="9" spans="1:27">
      <c r="A9" s="100"/>
      <c r="B9" s="100"/>
      <c r="C9" s="100"/>
      <c r="D9" s="100"/>
      <c r="E9" s="100"/>
      <c r="F9" s="100"/>
      <c r="G9" s="149" t="s">
        <v>179</v>
      </c>
      <c r="H9" s="100"/>
      <c r="I9" s="273"/>
      <c r="J9" s="100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375"/>
    </row>
    <row r="10" spans="1:27">
      <c r="A10" s="100"/>
      <c r="B10" s="100"/>
      <c r="C10" s="100"/>
      <c r="D10" s="100"/>
      <c r="E10" s="100"/>
      <c r="F10" s="100"/>
      <c r="G10" s="100" t="s">
        <v>78</v>
      </c>
      <c r="H10" s="106"/>
      <c r="I10" s="159"/>
      <c r="J10" s="100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377">
        <f>'Asset base'!X881</f>
        <v>24429694.657929353</v>
      </c>
      <c r="AA10" s="555"/>
    </row>
    <row r="11" spans="1:27">
      <c r="A11" s="100"/>
      <c r="B11" s="100"/>
      <c r="C11" s="100"/>
      <c r="D11" s="100"/>
      <c r="E11" s="100"/>
      <c r="F11" s="100"/>
      <c r="G11" s="100" t="s">
        <v>180</v>
      </c>
      <c r="H11" s="106"/>
      <c r="I11" s="159"/>
      <c r="J11" s="100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377">
        <f>'Asset base'!X882</f>
        <v>517535560.49594361</v>
      </c>
      <c r="AA11" s="555"/>
    </row>
    <row r="12" spans="1:27">
      <c r="A12" s="100"/>
      <c r="B12" s="100"/>
      <c r="C12" s="100"/>
      <c r="D12" s="100"/>
      <c r="E12" s="100"/>
      <c r="F12" s="100"/>
      <c r="G12" s="100" t="s">
        <v>112</v>
      </c>
      <c r="H12" s="106"/>
      <c r="I12" s="159"/>
      <c r="J12" s="100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377">
        <f>'Asset base'!X883</f>
        <v>13209396.005994601</v>
      </c>
      <c r="AA12" s="555"/>
    </row>
    <row r="13" spans="1:27">
      <c r="A13" s="100"/>
      <c r="B13" s="100"/>
      <c r="C13" s="100"/>
      <c r="D13" s="100"/>
      <c r="E13" s="100"/>
      <c r="F13" s="100"/>
      <c r="G13" s="44"/>
      <c r="H13" s="44"/>
      <c r="I13" s="100"/>
      <c r="J13" s="100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357"/>
    </row>
    <row r="14" spans="1:27" ht="15.75">
      <c r="A14" s="130"/>
      <c r="B14" s="130"/>
      <c r="C14" s="130"/>
      <c r="D14" s="130"/>
      <c r="E14" s="130"/>
      <c r="F14" s="130"/>
      <c r="G14" s="162" t="s">
        <v>124</v>
      </c>
      <c r="H14" s="161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359"/>
    </row>
    <row r="15" spans="1:27">
      <c r="A15" s="100"/>
      <c r="B15" s="100"/>
      <c r="C15" s="100"/>
      <c r="D15" s="100"/>
      <c r="E15" s="100"/>
      <c r="F15" s="100"/>
      <c r="H15" s="100"/>
      <c r="I15" s="100"/>
      <c r="J15" s="100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363"/>
    </row>
    <row r="16" spans="1:27">
      <c r="A16" s="100"/>
      <c r="B16" s="100"/>
      <c r="C16" s="100"/>
      <c r="D16" s="100"/>
      <c r="E16" s="100"/>
      <c r="F16" s="100"/>
      <c r="G16" s="149" t="s">
        <v>123</v>
      </c>
      <c r="H16" s="100"/>
      <c r="I16" s="100"/>
      <c r="J16" s="100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363"/>
    </row>
    <row r="17" spans="1:25">
      <c r="A17" s="100"/>
      <c r="B17" s="100"/>
      <c r="C17" s="100"/>
      <c r="D17" s="100"/>
      <c r="E17" s="100"/>
      <c r="F17" s="100"/>
      <c r="G17" s="100" t="s">
        <v>74</v>
      </c>
      <c r="H17" s="106"/>
      <c r="I17" s="159"/>
      <c r="J17" s="100"/>
      <c r="K17" s="268"/>
      <c r="L17" s="268"/>
      <c r="M17" s="268"/>
      <c r="N17" s="268">
        <f>Opex!N141</f>
        <v>1682508.5322883045</v>
      </c>
      <c r="O17" s="268">
        <f>Opex!O141</f>
        <v>1828699.6278913277</v>
      </c>
      <c r="P17" s="268">
        <f>Opex!P141</f>
        <v>1944730.4788352083</v>
      </c>
      <c r="Q17" s="268">
        <f>Opex!Q141</f>
        <v>1995880.9475645788</v>
      </c>
      <c r="R17" s="268">
        <f>Opex!R141</f>
        <v>2037794.4474634344</v>
      </c>
      <c r="S17" s="268">
        <f>Opex!S141</f>
        <v>2080588.1308601666</v>
      </c>
      <c r="T17" s="268">
        <f>Opex!T141</f>
        <v>2132602.8341316711</v>
      </c>
      <c r="U17" s="268">
        <f>Opex!U141</f>
        <v>2185917.9049849627</v>
      </c>
      <c r="V17" s="268">
        <f>Opex!V141</f>
        <v>2240565.852609586</v>
      </c>
      <c r="W17" s="268">
        <f>Opex!W141</f>
        <v>2296579.9989248253</v>
      </c>
      <c r="X17" s="268">
        <f>Opex!X141</f>
        <v>2353994.4988979455</v>
      </c>
      <c r="Y17" s="377">
        <f>Opex!Y141</f>
        <v>13989300.091019368</v>
      </c>
    </row>
    <row r="18" spans="1:25">
      <c r="A18" s="100"/>
      <c r="B18" s="100"/>
      <c r="C18" s="100"/>
      <c r="D18" s="100"/>
      <c r="E18" s="100"/>
      <c r="F18" s="100"/>
      <c r="G18" s="100" t="s">
        <v>122</v>
      </c>
      <c r="H18" s="106"/>
      <c r="I18" s="159"/>
      <c r="J18" s="100"/>
      <c r="K18" s="268"/>
      <c r="L18" s="268"/>
      <c r="M18" s="268"/>
      <c r="N18" s="268">
        <f>Opex!N142</f>
        <v>1871485.6571074054</v>
      </c>
      <c r="O18" s="268">
        <f>Opex!O142</f>
        <v>476339.35473178764</v>
      </c>
      <c r="P18" s="268">
        <f>Opex!P142</f>
        <v>471978.45246928022</v>
      </c>
      <c r="Q18" s="268">
        <f>Opex!Q142</f>
        <v>518682.05784580478</v>
      </c>
      <c r="R18" s="268">
        <f>Opex!R142</f>
        <v>530958.1691587721</v>
      </c>
      <c r="S18" s="268">
        <f>Opex!S142</f>
        <v>544590.62760261854</v>
      </c>
      <c r="T18" s="268">
        <f>Opex!T142</f>
        <v>634732.21917051903</v>
      </c>
      <c r="U18" s="268">
        <f>Opex!U142</f>
        <v>652856.64699205977</v>
      </c>
      <c r="V18" s="268">
        <f>Opex!V142</f>
        <v>672260.03113690659</v>
      </c>
      <c r="W18" s="268">
        <f>Opex!W142</f>
        <v>690381.00671540911</v>
      </c>
      <c r="X18" s="268">
        <f>Opex!X142</f>
        <v>713279.98774528422</v>
      </c>
      <c r="Y18" s="377">
        <f>Opex!Y142</f>
        <v>4275658.7987995939</v>
      </c>
    </row>
    <row r="19" spans="1:25">
      <c r="A19" s="100"/>
      <c r="B19" s="100"/>
      <c r="C19" s="100"/>
      <c r="D19" s="100"/>
      <c r="E19" s="100"/>
      <c r="F19" s="100"/>
      <c r="G19" s="100" t="s">
        <v>121</v>
      </c>
      <c r="H19" s="106"/>
      <c r="I19" s="159"/>
      <c r="J19" s="100"/>
      <c r="K19" s="268"/>
      <c r="L19" s="268"/>
      <c r="M19" s="268"/>
      <c r="N19" s="268">
        <f>Opex!N143</f>
        <v>61244.975975040114</v>
      </c>
      <c r="O19" s="268">
        <f>Opex!O143</f>
        <v>94307.163619006824</v>
      </c>
      <c r="P19" s="268">
        <f>Opex!P143</f>
        <v>77576.268737690058</v>
      </c>
      <c r="Q19" s="268">
        <f>Opex!Q143</f>
        <v>77065.956457805136</v>
      </c>
      <c r="R19" s="268">
        <f>Opex!R143</f>
        <v>77835.618741575978</v>
      </c>
      <c r="S19" s="268">
        <f>Opex!S143</f>
        <v>78595.982249250766</v>
      </c>
      <c r="T19" s="268">
        <f>Opex!T143</f>
        <v>80060.654016329077</v>
      </c>
      <c r="U19" s="268">
        <f>Opex!U143</f>
        <v>81546.935743909737</v>
      </c>
      <c r="V19" s="268">
        <f>Opex!V143</f>
        <v>83054.917475995142</v>
      </c>
      <c r="W19" s="268">
        <f>Opex!W143</f>
        <v>84584.678001537293</v>
      </c>
      <c r="X19" s="268">
        <f>Opex!X143</f>
        <v>86136.284167877282</v>
      </c>
      <c r="Y19" s="377">
        <f>Opex!Y143</f>
        <v>508527.85831563099</v>
      </c>
    </row>
    <row r="20" spans="1:25">
      <c r="A20" s="100"/>
      <c r="B20" s="100"/>
      <c r="C20" s="100"/>
      <c r="D20" s="100"/>
      <c r="E20" s="100"/>
      <c r="F20" s="100"/>
      <c r="G20" s="100" t="s">
        <v>120</v>
      </c>
      <c r="H20" s="106"/>
      <c r="I20" s="159"/>
      <c r="J20" s="100"/>
      <c r="K20" s="268"/>
      <c r="L20" s="268"/>
      <c r="M20" s="268"/>
      <c r="N20" s="268">
        <f>Opex!N144</f>
        <v>1230610.4501967758</v>
      </c>
      <c r="O20" s="268">
        <f>Opex!O144</f>
        <v>1410582.0550083204</v>
      </c>
      <c r="P20" s="268">
        <f>Opex!P144</f>
        <v>1545054.6044649468</v>
      </c>
      <c r="Q20" s="268">
        <f>Opex!Q144</f>
        <v>1597828.3791888652</v>
      </c>
      <c r="R20" s="268">
        <f>Opex!R144</f>
        <v>1631382.7751518306</v>
      </c>
      <c r="S20" s="268">
        <f>Opex!S144</f>
        <v>1665641.8134300192</v>
      </c>
      <c r="T20" s="268">
        <f>Opex!T144</f>
        <v>1707282.8587657693</v>
      </c>
      <c r="U20" s="268">
        <f>Opex!U144</f>
        <v>1749964.9302349139</v>
      </c>
      <c r="V20" s="268">
        <f>Opex!V144</f>
        <v>1793714.0534907861</v>
      </c>
      <c r="W20" s="268">
        <f>Opex!W144</f>
        <v>1838556.9048280558</v>
      </c>
      <c r="X20" s="268">
        <f>Opex!X144</f>
        <v>1884520.8274487567</v>
      </c>
      <c r="Y20" s="377">
        <f>Opex!Y144</f>
        <v>11199315.629369162</v>
      </c>
    </row>
    <row r="21" spans="1:25">
      <c r="A21" s="100"/>
      <c r="B21" s="100"/>
      <c r="C21" s="100"/>
      <c r="D21" s="100"/>
      <c r="E21" s="100"/>
      <c r="F21" s="100"/>
      <c r="G21" s="100" t="s">
        <v>119</v>
      </c>
      <c r="H21" s="106"/>
      <c r="I21" s="159"/>
      <c r="J21" s="100"/>
      <c r="K21" s="268"/>
      <c r="L21" s="268"/>
      <c r="M21" s="268"/>
      <c r="N21" s="268">
        <f>Opex!N145</f>
        <v>342649.45463371009</v>
      </c>
      <c r="O21" s="268">
        <f>Opex!O145</f>
        <v>336128.5531079598</v>
      </c>
      <c r="P21" s="268">
        <f>Opex!P145</f>
        <v>589684.55791333551</v>
      </c>
      <c r="Q21" s="268">
        <f>Opex!Q145</f>
        <v>570377.67755806458</v>
      </c>
      <c r="R21" s="268">
        <f>Opex!R145</f>
        <v>582355.608786784</v>
      </c>
      <c r="S21" s="268">
        <f>Opex!S145</f>
        <v>594585.07657130633</v>
      </c>
      <c r="T21" s="268">
        <f>Opex!T145</f>
        <v>493078.56700072368</v>
      </c>
      <c r="U21" s="268">
        <f>Opex!U145</f>
        <v>505405.53117574163</v>
      </c>
      <c r="V21" s="268">
        <f>Opex!V145</f>
        <v>518040.66945513524</v>
      </c>
      <c r="W21" s="268">
        <f>Opex!W145</f>
        <v>530991.68619151355</v>
      </c>
      <c r="X21" s="268">
        <f>Opex!X145</f>
        <v>544266.47834630124</v>
      </c>
      <c r="Y21" s="377">
        <f>Opex!Y145</f>
        <v>3234462.5693191974</v>
      </c>
    </row>
    <row r="22" spans="1:25">
      <c r="A22" s="100"/>
      <c r="B22" s="100"/>
      <c r="C22" s="100"/>
      <c r="D22" s="100"/>
      <c r="E22" s="100"/>
      <c r="F22" s="100"/>
      <c r="G22" s="100" t="s">
        <v>118</v>
      </c>
      <c r="H22" s="106"/>
      <c r="I22" s="159"/>
      <c r="J22" s="100"/>
      <c r="K22" s="268"/>
      <c r="L22" s="268"/>
      <c r="M22" s="268"/>
      <c r="N22" s="268">
        <f>Opex!N146</f>
        <v>662854.88588845264</v>
      </c>
      <c r="O22" s="268">
        <f>Opex!O146</f>
        <v>740851.62914392434</v>
      </c>
      <c r="P22" s="268">
        <f>Opex!P146</f>
        <v>835022.83660135209</v>
      </c>
      <c r="Q22" s="268">
        <f>Opex!Q146</f>
        <v>860196.03355521464</v>
      </c>
      <c r="R22" s="268">
        <f>Opex!R146</f>
        <v>878260.15025987395</v>
      </c>
      <c r="S22" s="268">
        <f>Opex!S146</f>
        <v>896703.61341533123</v>
      </c>
      <c r="T22" s="268">
        <f>Opex!T146</f>
        <v>919121.20375071443</v>
      </c>
      <c r="U22" s="268">
        <f>Opex!U146</f>
        <v>942099.23384448222</v>
      </c>
      <c r="V22" s="268">
        <f>Opex!V146</f>
        <v>965651.71469059412</v>
      </c>
      <c r="W22" s="268">
        <f>Opex!W146</f>
        <v>989793.00755785895</v>
      </c>
      <c r="X22" s="268">
        <f>Opex!X146</f>
        <v>1014537.8327468054</v>
      </c>
      <c r="Y22" s="377">
        <f>Opex!Y146</f>
        <v>6029187.494971619</v>
      </c>
    </row>
    <row r="23" spans="1:25">
      <c r="A23" s="100"/>
      <c r="B23" s="100"/>
      <c r="C23" s="100"/>
      <c r="D23" s="100"/>
      <c r="E23" s="100"/>
      <c r="F23" s="100"/>
      <c r="G23" s="100" t="s">
        <v>117</v>
      </c>
      <c r="H23" s="106"/>
      <c r="I23" s="159"/>
      <c r="J23" s="100"/>
      <c r="K23" s="268"/>
      <c r="L23" s="268"/>
      <c r="M23" s="268"/>
      <c r="N23" s="268">
        <f>Opex!N147</f>
        <v>871079.41810469271</v>
      </c>
      <c r="O23" s="268">
        <f>Opex!O147</f>
        <v>1099761.1167948078</v>
      </c>
      <c r="P23" s="268">
        <f>Opex!P147</f>
        <v>1187599.338712112</v>
      </c>
      <c r="Q23" s="268">
        <f>Opex!Q147</f>
        <v>1223227.3188734755</v>
      </c>
      <c r="R23" s="268">
        <f>Opex!R147</f>
        <v>1248915.0925698185</v>
      </c>
      <c r="S23" s="268">
        <f>Opex!S147</f>
        <v>1275142.3095137847</v>
      </c>
      <c r="T23" s="268">
        <f>Opex!T147</f>
        <v>1307020.8672516292</v>
      </c>
      <c r="U23" s="268">
        <f>Opex!U147</f>
        <v>1339696.3889329196</v>
      </c>
      <c r="V23" s="268">
        <f>Opex!V147</f>
        <v>1373188.7986562424</v>
      </c>
      <c r="W23" s="268">
        <f>Opex!W147</f>
        <v>1407518.5186226489</v>
      </c>
      <c r="X23" s="268">
        <f>Opex!X147</f>
        <v>1442706.4815882149</v>
      </c>
      <c r="Y23" s="377">
        <f>Opex!Y147</f>
        <v>8573704.7914279066</v>
      </c>
    </row>
    <row r="24" spans="1:25">
      <c r="A24" s="100"/>
      <c r="B24" s="100"/>
      <c r="C24" s="100"/>
      <c r="D24" s="100"/>
      <c r="E24" s="100"/>
      <c r="F24" s="100"/>
      <c r="G24" s="100" t="s">
        <v>116</v>
      </c>
      <c r="H24" s="106"/>
      <c r="I24" s="159"/>
      <c r="J24" s="100"/>
      <c r="K24" s="268"/>
      <c r="L24" s="268"/>
      <c r="M24" s="268"/>
      <c r="N24" s="268">
        <f>Opex!N148</f>
        <v>151571.27663366811</v>
      </c>
      <c r="O24" s="268">
        <f>Opex!O148</f>
        <v>169184.19205092054</v>
      </c>
      <c r="P24" s="268">
        <f>Opex!P148</f>
        <v>178733.19669348898</v>
      </c>
      <c r="Q24" s="268">
        <f>Opex!Q148</f>
        <v>150218.39453837409</v>
      </c>
      <c r="R24" s="268">
        <f>Opex!R148</f>
        <v>153748.65667515609</v>
      </c>
      <c r="S24" s="268">
        <f>Opex!S148</f>
        <v>157353.06058273435</v>
      </c>
      <c r="T24" s="268">
        <f>Opex!T148</f>
        <v>161664.04732541917</v>
      </c>
      <c r="U24" s="268">
        <f>Opex!U148</f>
        <v>166084.29266286732</v>
      </c>
      <c r="V24" s="268">
        <f>Opex!V148</f>
        <v>170616.53389830756</v>
      </c>
      <c r="W24" s="268">
        <f>Opex!W148</f>
        <v>175263.57679051938</v>
      </c>
      <c r="X24" s="268">
        <f>Opex!X148</f>
        <v>180028.2972653122</v>
      </c>
      <c r="Y24" s="377">
        <f>Opex!Y148</f>
        <v>1072100.8311355368</v>
      </c>
    </row>
    <row r="25" spans="1:25">
      <c r="A25" s="100"/>
      <c r="B25" s="100"/>
      <c r="C25" s="100"/>
      <c r="D25" s="100"/>
      <c r="E25" s="100"/>
      <c r="F25" s="100"/>
      <c r="G25" s="100" t="s">
        <v>115</v>
      </c>
      <c r="H25" s="106"/>
      <c r="I25" s="159"/>
      <c r="J25" s="100"/>
      <c r="K25" s="268"/>
      <c r="L25" s="268"/>
      <c r="M25" s="268"/>
      <c r="N25" s="268">
        <f>Opex!N149</f>
        <v>1124937.4201422755</v>
      </c>
      <c r="O25" s="268">
        <f>Opex!O149</f>
        <v>946862.53814612585</v>
      </c>
      <c r="P25" s="268">
        <f>Opex!P149</f>
        <v>724428.95954108424</v>
      </c>
      <c r="Q25" s="268">
        <f>Opex!Q149</f>
        <v>713939.61776507669</v>
      </c>
      <c r="R25" s="268">
        <f>Opex!R149</f>
        <v>728932.34973814338</v>
      </c>
      <c r="S25" s="268">
        <f>Opex!S149</f>
        <v>744239.92908264429</v>
      </c>
      <c r="T25" s="268">
        <f>Opex!T149</f>
        <v>762845.9273097103</v>
      </c>
      <c r="U25" s="268">
        <f>Opex!U149</f>
        <v>781917.07549245295</v>
      </c>
      <c r="V25" s="268">
        <f>Opex!V149</f>
        <v>801465.00237976422</v>
      </c>
      <c r="W25" s="268">
        <f>Opex!W149</f>
        <v>821501.62743925815</v>
      </c>
      <c r="X25" s="268">
        <f>Opex!X149</f>
        <v>842039.16812523943</v>
      </c>
      <c r="Y25" s="377">
        <f>Opex!Y149</f>
        <v>5004063.7804425787</v>
      </c>
    </row>
    <row r="26" spans="1:25">
      <c r="A26" s="100"/>
      <c r="B26" s="100"/>
      <c r="C26" s="100"/>
      <c r="D26" s="100"/>
      <c r="E26" s="100"/>
      <c r="F26" s="100"/>
      <c r="G26" s="100" t="s">
        <v>128</v>
      </c>
      <c r="H26" s="100"/>
      <c r="I26" s="100"/>
      <c r="J26" s="100"/>
      <c r="K26" s="268"/>
      <c r="L26" s="268"/>
      <c r="M26" s="268"/>
      <c r="N26" s="268">
        <f>Opex!N150</f>
        <v>577037</v>
      </c>
      <c r="O26" s="268">
        <f>Opex!O150</f>
        <v>561347</v>
      </c>
      <c r="P26" s="268">
        <f>Opex!P150</f>
        <v>593862</v>
      </c>
      <c r="Q26" s="268">
        <f>Opex!Q150</f>
        <v>639870.18283982598</v>
      </c>
      <c r="R26" s="268">
        <f>Opex!R150</f>
        <v>726457.07824143535</v>
      </c>
      <c r="S26" s="268">
        <f>Opex!S150</f>
        <v>748250.79103908339</v>
      </c>
      <c r="T26" s="268">
        <f>Opex!T150</f>
        <v>770698.31463288818</v>
      </c>
      <c r="U26" s="268">
        <f>Opex!U150</f>
        <v>793819.263520426</v>
      </c>
      <c r="V26" s="268">
        <f>Opex!V150</f>
        <v>817633.84144855605</v>
      </c>
      <c r="W26" s="268">
        <f>Opex!W150</f>
        <v>842162.85704352986</v>
      </c>
      <c r="X26" s="268">
        <f>Opex!X150</f>
        <v>894500.88489145227</v>
      </c>
      <c r="Y26" s="377">
        <f>Opex!Y150</f>
        <v>5438513.4313918054</v>
      </c>
    </row>
    <row r="27" spans="1:25">
      <c r="A27" s="100"/>
      <c r="B27" s="100"/>
      <c r="C27" s="100"/>
      <c r="D27" s="100"/>
      <c r="E27" s="100"/>
      <c r="F27" s="100"/>
      <c r="G27" s="155" t="s">
        <v>114</v>
      </c>
      <c r="H27" s="157"/>
      <c r="I27" s="156"/>
      <c r="J27" s="155"/>
      <c r="K27" s="154"/>
      <c r="L27" s="154"/>
      <c r="M27" s="154"/>
      <c r="N27" s="154">
        <f t="shared" ref="N27" si="2">SUM(N17:N26)</f>
        <v>8575979.0709703229</v>
      </c>
      <c r="O27" s="663">
        <f>SUM(O17:O26)-10000*'Volume &amp; CPI forecast'!O$14</f>
        <v>7653853.2304941807</v>
      </c>
      <c r="P27" s="663">
        <f>SUM(P17:P26)-10000*'Volume &amp; CPI forecast'!P$14</f>
        <v>8138246.283968498</v>
      </c>
      <c r="Q27" s="663">
        <f>SUM(Q17:Q26)-10000*'Volume &amp; CPI forecast'!Q$14</f>
        <v>8336643.2435770836</v>
      </c>
      <c r="R27" s="663">
        <f>SUM(R17:R26)-10000*'Volume &amp; CPI forecast'!R$14</f>
        <v>8585773.1144020148</v>
      </c>
      <c r="S27" s="663">
        <f>SUM(S17:S26)-10000*'Volume &amp; CPI forecast'!S$14</f>
        <v>8774596.2984820493</v>
      </c>
      <c r="T27" s="663">
        <f>SUM(T17:T26)-10000*'Volume &amp; CPI forecast'!T$14</f>
        <v>8957735.0815938599</v>
      </c>
      <c r="U27" s="663">
        <f>SUM(U17:U26)-10000*'Volume &amp; CPI forecast'!U$14</f>
        <v>9187651.4815291855</v>
      </c>
      <c r="V27" s="663">
        <f>SUM(V17:V26)-10000*'Volume &amp; CPI forecast'!V$14</f>
        <v>9424243.2751349341</v>
      </c>
      <c r="W27" s="663">
        <f>SUM(W17:W26)-10000*'Volume &amp; CPI forecast'!W$14</f>
        <v>9665087.0185055416</v>
      </c>
      <c r="X27" s="663">
        <f>SUM(X17:X26)-10000*'Volume &amp; CPI forecast'!X$14</f>
        <v>9943457.726523336</v>
      </c>
      <c r="Y27" s="664">
        <f>SUM(Y17:Y26)-PV((WACC!$N$32-2.5%), 10, -12600)</f>
        <v>59250799.501972884</v>
      </c>
    </row>
    <row r="28" spans="1:25">
      <c r="A28" s="100"/>
      <c r="B28" s="100"/>
      <c r="C28" s="100"/>
      <c r="D28" s="100"/>
      <c r="E28" s="100"/>
      <c r="F28" s="100"/>
      <c r="G28" s="153"/>
      <c r="H28" s="100"/>
      <c r="I28" s="106"/>
      <c r="J28" s="100"/>
      <c r="K28" s="152"/>
      <c r="L28" s="152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352"/>
    </row>
    <row r="29" spans="1:25">
      <c r="A29" s="100"/>
      <c r="B29" s="100"/>
      <c r="C29" s="100"/>
      <c r="D29" s="100"/>
      <c r="E29" s="100"/>
      <c r="F29" s="100"/>
      <c r="G29" s="149" t="s">
        <v>113</v>
      </c>
      <c r="H29" s="100"/>
      <c r="I29" s="106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352"/>
    </row>
    <row r="30" spans="1:25">
      <c r="A30" s="100"/>
      <c r="B30" s="100"/>
      <c r="C30" s="100"/>
      <c r="D30" s="100"/>
      <c r="E30" s="100"/>
      <c r="F30" s="100"/>
      <c r="G30" s="100"/>
      <c r="H30" s="100"/>
      <c r="I30" s="106"/>
      <c r="J30" s="100"/>
      <c r="K30" s="152"/>
      <c r="L30" s="152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377"/>
    </row>
    <row r="31" spans="1:25">
      <c r="A31" s="100"/>
      <c r="B31" s="100"/>
      <c r="C31" s="100"/>
      <c r="D31" s="100"/>
      <c r="E31" s="100"/>
      <c r="F31" s="100"/>
      <c r="G31" s="100" t="s">
        <v>112</v>
      </c>
      <c r="H31" s="100"/>
      <c r="I31" s="106"/>
      <c r="J31" s="100"/>
      <c r="K31" s="100"/>
      <c r="L31" s="100"/>
      <c r="M31" s="269"/>
      <c r="N31" s="268">
        <f>'Asset base'!N599+'Asset base'!N608+'Asset base'!N617+'Asset base'!N626+'Asset base'!N635+'Asset base'!N644+'Asset base'!N653+'Asset base'!N662+'Asset base'!N671+'Asset base'!N680</f>
        <v>0</v>
      </c>
      <c r="O31" s="268">
        <f>'Asset base'!O599+'Asset base'!O608+'Asset base'!O617+'Asset base'!O626+'Asset base'!O635+'Asset base'!O644+'Asset base'!O653+'Asset base'!O662+'Asset base'!O671+'Asset base'!O680</f>
        <v>2447328.3342596162</v>
      </c>
      <c r="P31" s="268">
        <f>'Asset base'!P599+'Asset base'!P608+'Asset base'!P617+'Asset base'!P626+'Asset base'!P635+'Asset base'!P644+'Asset base'!P653+'Asset base'!P662+'Asset base'!P671+'Asset base'!P680</f>
        <v>2425045.8436498465</v>
      </c>
      <c r="Q31" s="268">
        <f>'Asset base'!Q599+'Asset base'!Q608+'Asset base'!Q617+'Asset base'!Q626+'Asset base'!Q635+'Asset base'!Q644+'Asset base'!Q653+'Asset base'!Q662+'Asset base'!Q671+'Asset base'!Q680</f>
        <v>2481601.0762772555</v>
      </c>
      <c r="R31" s="268">
        <f>'Asset base'!R599+'Asset base'!R608+'Asset base'!R617+'Asset base'!R626+'Asset base'!R635+'Asset base'!R644+'Asset base'!R653+'Asset base'!R662+'Asset base'!R671+'Asset base'!R680</f>
        <v>2439998.8223893959</v>
      </c>
      <c r="S31" s="268">
        <f>'Asset base'!S599+'Asset base'!S608+'Asset base'!S617+'Asset base'!S626+'Asset base'!S635+'Asset base'!S644+'Asset base'!S653+'Asset base'!S662+'Asset base'!S671+'Asset base'!S680</f>
        <v>2498860.8137675496</v>
      </c>
      <c r="T31" s="268">
        <f>'Asset base'!T599+'Asset base'!T608+'Asset base'!T617+'Asset base'!T626+'Asset base'!T635+'Asset base'!T644+'Asset base'!T653+'Asset base'!T662+'Asset base'!T671+'Asset base'!T680</f>
        <v>2921699.2288659154</v>
      </c>
      <c r="U31" s="268">
        <f>'Asset base'!U599+'Asset base'!U608+'Asset base'!U617+'Asset base'!U626+'Asset base'!U635+'Asset base'!U644+'Asset base'!U653+'Asset base'!U662+'Asset base'!U671+'Asset base'!U680</f>
        <v>2874884.6194252134</v>
      </c>
      <c r="V31" s="268">
        <f>'Asset base'!V599+'Asset base'!V608+'Asset base'!V617+'Asset base'!V626+'Asset base'!V635+'Asset base'!V644+'Asset base'!V653+'Asset base'!V662+'Asset base'!V671+'Asset base'!V680</f>
        <v>2826939.0103324135</v>
      </c>
      <c r="W31" s="268">
        <f>'Asset base'!W599+'Asset base'!W608+'Asset base'!W617+'Asset base'!W626+'Asset base'!W635+'Asset base'!W644+'Asset base'!W653+'Asset base'!W662+'Asset base'!W671+'Asset base'!W680</f>
        <v>2777795.8805329907</v>
      </c>
      <c r="X31" s="268">
        <f>'Asset base'!X599+'Asset base'!X608+'Asset base'!X617+'Asset base'!X626+'Asset base'!X635+'Asset base'!X644+'Asset base'!X653+'Asset base'!X662+'Asset base'!X671+'Asset base'!X680</f>
        <v>2727425.4550937419</v>
      </c>
      <c r="Y31" s="387">
        <f>Y12</f>
        <v>13209396.005994601</v>
      </c>
    </row>
    <row r="32" spans="1:25">
      <c r="A32" s="100"/>
      <c r="B32" s="100"/>
      <c r="C32" s="100"/>
      <c r="D32" s="100"/>
      <c r="E32" s="100"/>
      <c r="F32" s="100"/>
      <c r="G32" s="100"/>
      <c r="H32" s="100"/>
      <c r="I32" s="106"/>
      <c r="J32" s="100"/>
      <c r="K32" s="100"/>
      <c r="L32" s="100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381"/>
    </row>
    <row r="33" spans="1:25">
      <c r="A33" s="100"/>
      <c r="B33" s="100"/>
      <c r="C33" s="100"/>
      <c r="D33" s="100"/>
      <c r="E33" s="100"/>
      <c r="F33" s="100"/>
      <c r="G33" s="149" t="s">
        <v>78</v>
      </c>
      <c r="H33" s="100"/>
      <c r="I33" s="100"/>
      <c r="J33" s="100"/>
      <c r="K33" s="152"/>
      <c r="L33" s="152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377"/>
    </row>
    <row r="34" spans="1:25">
      <c r="A34" s="100"/>
      <c r="B34" s="100"/>
      <c r="C34" s="100"/>
      <c r="D34" s="100"/>
      <c r="E34" s="100"/>
      <c r="F34" s="100"/>
      <c r="G34" s="100" t="s">
        <v>38</v>
      </c>
      <c r="H34" s="100"/>
      <c r="I34" s="100"/>
      <c r="J34" s="100"/>
      <c r="K34" s="152"/>
      <c r="L34" s="152"/>
      <c r="M34" s="268"/>
      <c r="N34" s="268">
        <f>'Asset base'!N598+'Asset base'!N600</f>
        <v>0</v>
      </c>
      <c r="O34" s="268">
        <f>'Asset base'!O598+'Asset base'!O600</f>
        <v>0</v>
      </c>
      <c r="P34" s="268">
        <f>'Asset base'!P598+'Asset base'!P600</f>
        <v>0</v>
      </c>
      <c r="Q34" s="268">
        <f>'Asset base'!Q598+'Asset base'!Q600</f>
        <v>0</v>
      </c>
      <c r="R34" s="268">
        <f>'Asset base'!R598+'Asset base'!R600</f>
        <v>0</v>
      </c>
      <c r="S34" s="268">
        <f>'Asset base'!S598+'Asset base'!S600</f>
        <v>0</v>
      </c>
      <c r="T34" s="268">
        <f>'Asset base'!T598+'Asset base'!T600</f>
        <v>0</v>
      </c>
      <c r="U34" s="268">
        <f>'Asset base'!U598+'Asset base'!U600</f>
        <v>0</v>
      </c>
      <c r="V34" s="268">
        <f>'Asset base'!V598+'Asset base'!V600</f>
        <v>0</v>
      </c>
      <c r="W34" s="268">
        <f>'Asset base'!W598+'Asset base'!W600</f>
        <v>0</v>
      </c>
      <c r="X34" s="268">
        <f>'Asset base'!X598+'Asset base'!X600</f>
        <v>0</v>
      </c>
      <c r="Y34" s="377"/>
    </row>
    <row r="35" spans="1:25">
      <c r="A35" s="100"/>
      <c r="B35" s="100"/>
      <c r="C35" s="100"/>
      <c r="D35" s="100"/>
      <c r="E35" s="100"/>
      <c r="F35" s="100"/>
      <c r="G35" s="100" t="s">
        <v>37</v>
      </c>
      <c r="H35" s="100"/>
      <c r="I35" s="100"/>
      <c r="J35" s="100"/>
      <c r="K35" s="152"/>
      <c r="L35" s="152"/>
      <c r="M35" s="268"/>
      <c r="N35" s="268">
        <f>'Asset base'!N607+'Asset base'!N609</f>
        <v>0</v>
      </c>
      <c r="O35" s="268">
        <f>'Asset base'!O607+'Asset base'!O609</f>
        <v>3598.8117213077276</v>
      </c>
      <c r="P35" s="268">
        <f>'Asset base'!P607+'Asset base'!P609</f>
        <v>3671.2787879415773</v>
      </c>
      <c r="Q35" s="268">
        <f>'Asset base'!Q607+'Asset base'!Q609</f>
        <v>3670.8354167374769</v>
      </c>
      <c r="R35" s="268">
        <f>'Asset base'!R607+'Asset base'!R609</f>
        <v>3670.3809693678795</v>
      </c>
      <c r="S35" s="268">
        <f>'Asset base'!S607+'Asset base'!S609</f>
        <v>3669.8068783612907</v>
      </c>
      <c r="T35" s="268">
        <f>'Asset base'!T607+'Asset base'!T609</f>
        <v>3682.4395656868383</v>
      </c>
      <c r="U35" s="268">
        <f>'Asset base'!U607+'Asset base'!U609</f>
        <v>3681.4095970616231</v>
      </c>
      <c r="V35" s="268">
        <f>'Asset base'!V607+'Asset base'!V609</f>
        <v>3679.7250752677187</v>
      </c>
      <c r="W35" s="268">
        <f>'Asset base'!W607+'Asset base'!W609</f>
        <v>3677.1284022255631</v>
      </c>
      <c r="X35" s="268">
        <f>'Asset base'!X607+'Asset base'!X609</f>
        <v>3672.6046022974238</v>
      </c>
      <c r="Y35" s="377"/>
    </row>
    <row r="36" spans="1:25">
      <c r="A36" s="100"/>
      <c r="B36" s="100"/>
      <c r="C36" s="100"/>
      <c r="D36" s="100"/>
      <c r="E36" s="100"/>
      <c r="F36" s="100"/>
      <c r="G36" s="100" t="s">
        <v>36</v>
      </c>
      <c r="H36" s="100"/>
      <c r="I36" s="100"/>
      <c r="J36" s="100"/>
      <c r="K36" s="152"/>
      <c r="L36" s="152"/>
      <c r="M36" s="268"/>
      <c r="N36" s="268">
        <f>'Asset base'!N616+'Asset base'!N618</f>
        <v>0</v>
      </c>
      <c r="O36" s="268">
        <f>'Asset base'!O616+'Asset base'!O618</f>
        <v>96074.75521048739</v>
      </c>
      <c r="P36" s="268">
        <f>'Asset base'!P616+'Asset base'!P618</f>
        <v>131346.79307563003</v>
      </c>
      <c r="Q36" s="268">
        <f>'Asset base'!Q616+'Asset base'!Q618</f>
        <v>176023.91309692079</v>
      </c>
      <c r="R36" s="268">
        <f>'Asset base'!R616+'Asset base'!R618</f>
        <v>199858.01461830936</v>
      </c>
      <c r="S36" s="268">
        <f>'Asset base'!S616+'Asset base'!S618</f>
        <v>222441.83362938993</v>
      </c>
      <c r="T36" s="268">
        <f>'Asset base'!T616+'Asset base'!T618</f>
        <v>120480.66890121711</v>
      </c>
      <c r="U36" s="268">
        <f>'Asset base'!U616+'Asset base'!U618</f>
        <v>79754.9502537269</v>
      </c>
      <c r="V36" s="268">
        <f>'Asset base'!V616+'Asset base'!V618</f>
        <v>45524.384256834514</v>
      </c>
      <c r="W36" s="268">
        <f>'Asset base'!W616+'Asset base'!W618</f>
        <v>26760.874368863926</v>
      </c>
      <c r="X36" s="268">
        <f>'Asset base'!X616+'Asset base'!X618</f>
        <v>16002.22671901061</v>
      </c>
      <c r="Y36" s="377"/>
    </row>
    <row r="37" spans="1:25">
      <c r="A37" s="100"/>
      <c r="B37" s="100"/>
      <c r="C37" s="100"/>
      <c r="D37" s="100"/>
      <c r="E37" s="100"/>
      <c r="F37" s="100"/>
      <c r="G37" s="100" t="s">
        <v>35</v>
      </c>
      <c r="H37" s="100"/>
      <c r="I37" s="100"/>
      <c r="J37" s="100"/>
      <c r="K37" s="152"/>
      <c r="L37" s="152"/>
      <c r="M37" s="268"/>
      <c r="N37" s="268">
        <f>'Asset base'!N625+'Asset base'!N627</f>
        <v>0</v>
      </c>
      <c r="O37" s="268">
        <f>'Asset base'!O625+'Asset base'!O627</f>
        <v>0</v>
      </c>
      <c r="P37" s="268">
        <f>'Asset base'!P625+'Asset base'!P627</f>
        <v>0</v>
      </c>
      <c r="Q37" s="268">
        <f>'Asset base'!Q625+'Asset base'!Q627</f>
        <v>0</v>
      </c>
      <c r="R37" s="268">
        <f>'Asset base'!R625+'Asset base'!R627</f>
        <v>0</v>
      </c>
      <c r="S37" s="268">
        <f>'Asset base'!S625+'Asset base'!S627</f>
        <v>0</v>
      </c>
      <c r="T37" s="268">
        <f>'Asset base'!T625+'Asset base'!T627</f>
        <v>0</v>
      </c>
      <c r="U37" s="268">
        <f>'Asset base'!U625+'Asset base'!U627</f>
        <v>0</v>
      </c>
      <c r="V37" s="268">
        <f>'Asset base'!V625+'Asset base'!V627</f>
        <v>0</v>
      </c>
      <c r="W37" s="268">
        <f>'Asset base'!W625+'Asset base'!W627</f>
        <v>0</v>
      </c>
      <c r="X37" s="268">
        <f>'Asset base'!X625+'Asset base'!X627</f>
        <v>0</v>
      </c>
      <c r="Y37" s="377"/>
    </row>
    <row r="38" spans="1:25">
      <c r="A38" s="100"/>
      <c r="B38" s="100"/>
      <c r="C38" s="100"/>
      <c r="D38" s="100"/>
      <c r="E38" s="100"/>
      <c r="F38" s="100"/>
      <c r="G38" s="100" t="s">
        <v>34</v>
      </c>
      <c r="H38" s="100"/>
      <c r="I38" s="100"/>
      <c r="J38" s="100"/>
      <c r="K38" s="152"/>
      <c r="L38" s="152"/>
      <c r="M38" s="268"/>
      <c r="N38" s="268">
        <f>'Asset base'!N634+'Asset base'!N636</f>
        <v>0</v>
      </c>
      <c r="O38" s="268">
        <f>'Asset base'!O634+'Asset base'!O636</f>
        <v>60571.67191839905</v>
      </c>
      <c r="P38" s="268">
        <f>'Asset base'!P634+'Asset base'!P636</f>
        <v>69606.066849146184</v>
      </c>
      <c r="Q38" s="268">
        <f>'Asset base'!Q634+'Asset base'!Q636</f>
        <v>77502.934896050429</v>
      </c>
      <c r="R38" s="268">
        <f>'Asset base'!R634+'Asset base'!R636</f>
        <v>84881.9065038228</v>
      </c>
      <c r="S38" s="268">
        <f>'Asset base'!S634+'Asset base'!S636</f>
        <v>91402.299018885416</v>
      </c>
      <c r="T38" s="268">
        <f>'Asset base'!T634+'Asset base'!T636</f>
        <v>91402.299018885416</v>
      </c>
      <c r="U38" s="268">
        <f>'Asset base'!U634+'Asset base'!U636</f>
        <v>91402.299018885416</v>
      </c>
      <c r="V38" s="268">
        <f>'Asset base'!V634+'Asset base'!V636</f>
        <v>91402.299018885416</v>
      </c>
      <c r="W38" s="268">
        <f>'Asset base'!W634+'Asset base'!W636</f>
        <v>91402.299018885416</v>
      </c>
      <c r="X38" s="268">
        <f>'Asset base'!X634+'Asset base'!X636</f>
        <v>91402.299018885373</v>
      </c>
      <c r="Y38" s="377"/>
    </row>
    <row r="39" spans="1:25">
      <c r="A39" s="100"/>
      <c r="B39" s="100"/>
      <c r="C39" s="100"/>
      <c r="D39" s="100"/>
      <c r="E39" s="100"/>
      <c r="F39" s="100"/>
      <c r="G39" s="100" t="s">
        <v>33</v>
      </c>
      <c r="H39" s="100"/>
      <c r="I39" s="100"/>
      <c r="J39" s="100"/>
      <c r="K39" s="152"/>
      <c r="L39" s="152"/>
      <c r="M39" s="268"/>
      <c r="N39" s="268">
        <f>'Asset base'!N647+'Asset base'!N649</f>
        <v>0</v>
      </c>
      <c r="O39" s="268">
        <f>'Asset base'!O647+'Asset base'!O649</f>
        <v>0</v>
      </c>
      <c r="P39" s="268">
        <f>'Asset base'!P647+'Asset base'!P649</f>
        <v>0</v>
      </c>
      <c r="Q39" s="268">
        <f>'Asset base'!Q647+'Asset base'!Q649</f>
        <v>0</v>
      </c>
      <c r="R39" s="268">
        <f>'Asset base'!R647+'Asset base'!R649</f>
        <v>0</v>
      </c>
      <c r="S39" s="268">
        <f>'Asset base'!S647+'Asset base'!S649</f>
        <v>0</v>
      </c>
      <c r="T39" s="268">
        <f>'Asset base'!T647+'Asset base'!T649</f>
        <v>0</v>
      </c>
      <c r="U39" s="268">
        <f>'Asset base'!U647+'Asset base'!U649</f>
        <v>0</v>
      </c>
      <c r="V39" s="268">
        <f>'Asset base'!V647+'Asset base'!V649</f>
        <v>0</v>
      </c>
      <c r="W39" s="268">
        <f>'Asset base'!W647+'Asset base'!W649</f>
        <v>0</v>
      </c>
      <c r="X39" s="268">
        <f>'Asset base'!X647+'Asset base'!X649</f>
        <v>0</v>
      </c>
      <c r="Y39" s="377"/>
    </row>
    <row r="40" spans="1:25">
      <c r="A40" s="100"/>
      <c r="B40" s="100"/>
      <c r="C40" s="100"/>
      <c r="D40" s="100"/>
      <c r="E40" s="100"/>
      <c r="F40" s="100"/>
      <c r="G40" s="100" t="s">
        <v>32</v>
      </c>
      <c r="H40" s="100"/>
      <c r="I40" s="100"/>
      <c r="J40" s="100"/>
      <c r="K40" s="152"/>
      <c r="L40" s="152"/>
      <c r="M40" s="268"/>
      <c r="N40" s="268">
        <f>'Asset base'!N652+'Asset base'!N654</f>
        <v>0</v>
      </c>
      <c r="O40" s="268">
        <f>'Asset base'!O652+'Asset base'!O654</f>
        <v>34758.069885184341</v>
      </c>
      <c r="P40" s="268">
        <f>'Asset base'!P652+'Asset base'!P654</f>
        <v>41523.686677899401</v>
      </c>
      <c r="Q40" s="268">
        <f>'Asset base'!Q652+'Asset base'!Q654</f>
        <v>43154.366980343562</v>
      </c>
      <c r="R40" s="268">
        <f>'Asset base'!R652+'Asset base'!R654</f>
        <v>45028.99015852702</v>
      </c>
      <c r="S40" s="268">
        <f>'Asset base'!S652+'Asset base'!S654</f>
        <v>45877.704511595242</v>
      </c>
      <c r="T40" s="268">
        <f>'Asset base'!T652+'Asset base'!T654</f>
        <v>26577.539023059442</v>
      </c>
      <c r="U40" s="268">
        <f>'Asset base'!U652+'Asset base'!U654</f>
        <v>25865.221285962863</v>
      </c>
      <c r="V40" s="268">
        <f>'Asset base'!V652+'Asset base'!V654</f>
        <v>25860.89459331569</v>
      </c>
      <c r="W40" s="268">
        <f>'Asset base'!W652+'Asset base'!W654</f>
        <v>25853.704796421793</v>
      </c>
      <c r="X40" s="268">
        <f>'Asset base'!X652+'Asset base'!X654</f>
        <v>25843.718793990065</v>
      </c>
      <c r="Y40" s="377"/>
    </row>
    <row r="41" spans="1:25">
      <c r="A41" s="100"/>
      <c r="B41" s="100"/>
      <c r="C41" s="100"/>
      <c r="D41" s="100"/>
      <c r="E41" s="100"/>
      <c r="F41" s="100"/>
      <c r="G41" s="100" t="s">
        <v>31</v>
      </c>
      <c r="H41" s="100"/>
      <c r="I41" s="100"/>
      <c r="J41" s="100"/>
      <c r="K41" s="152"/>
      <c r="L41" s="152"/>
      <c r="M41" s="268"/>
      <c r="N41" s="268">
        <f>'Asset base'!N661+'Asset base'!N663</f>
        <v>0</v>
      </c>
      <c r="O41" s="268">
        <f>'Asset base'!O661+'Asset base'!O663</f>
        <v>4410647.9615791887</v>
      </c>
      <c r="P41" s="268">
        <f>'Asset base'!P661+'Asset base'!P663</f>
        <v>4518134.4940462066</v>
      </c>
      <c r="Q41" s="268">
        <f>'Asset base'!Q661+'Asset base'!Q663</f>
        <v>4528655.1453975886</v>
      </c>
      <c r="R41" s="268">
        <f>'Asset base'!R661+'Asset base'!R663</f>
        <v>4769690.9404237503</v>
      </c>
      <c r="S41" s="268">
        <f>'Asset base'!S661+'Asset base'!S663</f>
        <v>4787997.7989419382</v>
      </c>
      <c r="T41" s="268">
        <f>'Asset base'!T661+'Asset base'!T663</f>
        <v>4764023.6279052515</v>
      </c>
      <c r="U41" s="268">
        <f>'Asset base'!U661+'Asset base'!U663</f>
        <v>4763162.3522542156</v>
      </c>
      <c r="V41" s="268">
        <f>'Asset base'!V661+'Asset base'!V663</f>
        <v>4763123.5826407317</v>
      </c>
      <c r="W41" s="268">
        <f>'Asset base'!W661+'Asset base'!W663</f>
        <v>4763082.06490428</v>
      </c>
      <c r="X41" s="268">
        <f>'Asset base'!X661+'Asset base'!X663</f>
        <v>4763037.9976107581</v>
      </c>
      <c r="Y41" s="377"/>
    </row>
    <row r="42" spans="1:25">
      <c r="A42" s="100"/>
      <c r="B42" s="100"/>
      <c r="C42" s="100"/>
      <c r="D42" s="100"/>
      <c r="E42" s="100"/>
      <c r="F42" s="100"/>
      <c r="G42" s="100" t="s">
        <v>30</v>
      </c>
      <c r="H42" s="100"/>
      <c r="I42" s="100"/>
      <c r="J42" s="100"/>
      <c r="K42" s="152"/>
      <c r="L42" s="152"/>
      <c r="M42" s="268"/>
      <c r="N42" s="268">
        <f>'Asset base'!N670+'Asset base'!N672</f>
        <v>0</v>
      </c>
      <c r="O42" s="268">
        <f>'Asset base'!O670+'Asset base'!O672</f>
        <v>0</v>
      </c>
      <c r="P42" s="268">
        <f>'Asset base'!P670+'Asset base'!P672</f>
        <v>0</v>
      </c>
      <c r="Q42" s="268">
        <f>'Asset base'!Q670+'Asset base'!Q672</f>
        <v>0</v>
      </c>
      <c r="R42" s="268">
        <f>'Asset base'!R670+'Asset base'!R672</f>
        <v>0</v>
      </c>
      <c r="S42" s="268">
        <f>'Asset base'!S670+'Asset base'!S672</f>
        <v>0</v>
      </c>
      <c r="T42" s="268">
        <f>'Asset base'!T670+'Asset base'!T672</f>
        <v>0</v>
      </c>
      <c r="U42" s="268">
        <f>'Asset base'!U670+'Asset base'!U672</f>
        <v>0</v>
      </c>
      <c r="V42" s="268">
        <f>'Asset base'!V670+'Asset base'!V672</f>
        <v>0</v>
      </c>
      <c r="W42" s="268">
        <f>'Asset base'!W670+'Asset base'!W672</f>
        <v>0</v>
      </c>
      <c r="X42" s="268">
        <f>'Asset base'!X670+'Asset base'!X672</f>
        <v>0</v>
      </c>
      <c r="Y42" s="377"/>
    </row>
    <row r="43" spans="1:25">
      <c r="A43" s="100"/>
      <c r="B43" s="100"/>
      <c r="C43" s="100"/>
      <c r="D43" s="100"/>
      <c r="E43" s="100"/>
      <c r="F43" s="100"/>
      <c r="G43" s="100" t="s">
        <v>29</v>
      </c>
      <c r="H43" s="100"/>
      <c r="I43" s="100"/>
      <c r="J43" s="100"/>
      <c r="K43" s="152"/>
      <c r="L43" s="152"/>
      <c r="M43" s="268"/>
      <c r="N43" s="268">
        <f>'Asset base'!N679+'Asset base'!N681</f>
        <v>0</v>
      </c>
      <c r="O43" s="268">
        <f>'Asset base'!O679+'Asset base'!O681</f>
        <v>14608.983427640676</v>
      </c>
      <c r="P43" s="268">
        <f>'Asset base'!P679+'Asset base'!P681</f>
        <v>14652.198313131039</v>
      </c>
      <c r="Q43" s="268">
        <f>'Asset base'!Q679+'Asset base'!Q681</f>
        <v>14720.884916592586</v>
      </c>
      <c r="R43" s="268">
        <f>'Asset base'!R679+'Asset base'!R681</f>
        <v>14777.731053217187</v>
      </c>
      <c r="S43" s="268">
        <f>'Asset base'!S679+'Asset base'!S681</f>
        <v>194.53731498692025</v>
      </c>
      <c r="T43" s="268">
        <f>'Asset base'!T679+'Asset base'!T681</f>
        <v>151.32242949655796</v>
      </c>
      <c r="U43" s="268">
        <f>'Asset base'!U679+'Asset base'!U681</f>
        <v>82.635826035009899</v>
      </c>
      <c r="V43" s="268">
        <f>'Asset base'!V679+'Asset base'!V681</f>
        <v>44.738401618608961</v>
      </c>
      <c r="W43" s="268">
        <f>'Asset base'!W679+'Asset base'!W681</f>
        <v>18.948712208200465</v>
      </c>
      <c r="X43" s="268">
        <f>'Asset base'!X679+'Asset base'!X681</f>
        <v>18.948712208200465</v>
      </c>
      <c r="Y43" s="377"/>
    </row>
    <row r="44" spans="1:25">
      <c r="A44" s="100"/>
      <c r="B44" s="100"/>
      <c r="C44" s="100"/>
      <c r="D44" s="100"/>
      <c r="E44" s="100"/>
      <c r="F44" s="100"/>
      <c r="G44" s="100" t="s">
        <v>86</v>
      </c>
      <c r="H44" s="100"/>
      <c r="I44" s="100"/>
      <c r="J44" s="100"/>
      <c r="K44" s="152"/>
      <c r="L44" s="152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377"/>
    </row>
    <row r="45" spans="1:25">
      <c r="A45" s="100"/>
      <c r="B45" s="100"/>
      <c r="C45" s="100"/>
      <c r="D45" s="100"/>
      <c r="E45" s="100"/>
      <c r="F45" s="100"/>
      <c r="G45" s="100" t="s">
        <v>85</v>
      </c>
      <c r="H45" s="100"/>
      <c r="I45" s="100"/>
      <c r="J45" s="100"/>
      <c r="K45" s="152"/>
      <c r="L45" s="152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377"/>
    </row>
    <row r="46" spans="1:25">
      <c r="A46" s="100"/>
      <c r="B46" s="100"/>
      <c r="C46" s="100"/>
      <c r="D46" s="100"/>
      <c r="E46" s="100"/>
      <c r="F46" s="100"/>
      <c r="G46" s="100" t="s">
        <v>84</v>
      </c>
      <c r="H46" s="100"/>
      <c r="I46" s="100"/>
      <c r="J46" s="100"/>
      <c r="K46" s="152"/>
      <c r="L46" s="152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377"/>
    </row>
    <row r="47" spans="1:25">
      <c r="A47" s="100"/>
      <c r="B47" s="100"/>
      <c r="C47" s="100"/>
      <c r="D47" s="100"/>
      <c r="E47" s="100"/>
      <c r="F47" s="100"/>
      <c r="G47" s="100"/>
      <c r="H47" s="220"/>
      <c r="I47" s="220"/>
      <c r="J47" s="220"/>
      <c r="K47" s="267"/>
      <c r="L47" s="267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384"/>
    </row>
    <row r="48" spans="1:25">
      <c r="A48" s="100"/>
      <c r="B48" s="100"/>
      <c r="C48" s="100"/>
      <c r="D48" s="100"/>
      <c r="E48" s="100"/>
      <c r="F48" s="100"/>
      <c r="G48" s="200" t="s">
        <v>111</v>
      </c>
      <c r="H48" s="100"/>
      <c r="I48" s="100"/>
      <c r="J48" s="100"/>
      <c r="K48" s="152"/>
      <c r="L48" s="152"/>
      <c r="M48" s="152"/>
      <c r="N48" s="152">
        <f t="shared" ref="N48:S48" si="3">SUM(N35:N47)</f>
        <v>0</v>
      </c>
      <c r="O48" s="152">
        <f t="shared" si="3"/>
        <v>4620260.2537422078</v>
      </c>
      <c r="P48" s="152">
        <f t="shared" si="3"/>
        <v>4778934.5177499549</v>
      </c>
      <c r="Q48" s="152">
        <f t="shared" si="3"/>
        <v>4843728.0807042336</v>
      </c>
      <c r="R48" s="152">
        <f t="shared" si="3"/>
        <v>5117907.9637269946</v>
      </c>
      <c r="S48" s="152">
        <f t="shared" si="3"/>
        <v>5151583.9802951571</v>
      </c>
      <c r="T48" s="152">
        <f>SUM(T35:T47)</f>
        <v>5006317.8968435973</v>
      </c>
      <c r="U48" s="152">
        <f>SUM(U35:U47)</f>
        <v>4963948.868235888</v>
      </c>
      <c r="V48" s="152">
        <f>SUM(V35:V47)</f>
        <v>4929635.623986654</v>
      </c>
      <c r="W48" s="152">
        <f>SUM(W35:W47)</f>
        <v>4910795.0202028854</v>
      </c>
      <c r="X48" s="152">
        <f>SUM(X35:X47)</f>
        <v>4899977.7954571499</v>
      </c>
      <c r="Y48" s="363">
        <f>Y10</f>
        <v>24429694.657929353</v>
      </c>
    </row>
    <row r="49" spans="1:25">
      <c r="A49" s="100"/>
      <c r="B49" s="100"/>
      <c r="C49" s="100"/>
      <c r="D49" s="100"/>
      <c r="E49" s="100"/>
      <c r="F49" s="100"/>
      <c r="G49" s="149"/>
      <c r="H49" s="102"/>
      <c r="I49" s="106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352"/>
    </row>
    <row r="50" spans="1:25">
      <c r="A50" s="100"/>
      <c r="B50" s="100"/>
      <c r="C50" s="100"/>
      <c r="D50" s="100"/>
      <c r="E50" s="100"/>
      <c r="F50" s="100"/>
      <c r="G50" s="100"/>
      <c r="H50" s="102"/>
      <c r="I50" s="106"/>
      <c r="J50" s="100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363"/>
    </row>
    <row r="51" spans="1:25">
      <c r="A51" s="100"/>
      <c r="B51" s="100"/>
      <c r="C51" s="100"/>
      <c r="D51" s="100"/>
      <c r="E51" s="100"/>
      <c r="F51" s="100"/>
      <c r="G51" s="149"/>
      <c r="H51" s="102"/>
      <c r="I51" s="100"/>
      <c r="J51" s="100"/>
      <c r="K51" s="152"/>
      <c r="L51" s="152"/>
      <c r="M51" s="152"/>
      <c r="N51" s="152"/>
      <c r="O51" s="152"/>
      <c r="P51" s="100"/>
      <c r="Q51" s="100"/>
      <c r="R51" s="100"/>
      <c r="S51" s="100"/>
      <c r="T51" s="100"/>
      <c r="U51" s="100"/>
      <c r="V51" s="100"/>
      <c r="W51" s="100"/>
      <c r="X51" s="100"/>
      <c r="Y51" s="352"/>
    </row>
    <row r="52" spans="1:25">
      <c r="A52" s="100"/>
      <c r="B52" s="100"/>
      <c r="C52" s="100"/>
      <c r="D52" s="100"/>
      <c r="E52" s="100"/>
      <c r="F52" s="100"/>
      <c r="G52" s="103"/>
      <c r="H52" s="121"/>
      <c r="I52" s="165"/>
      <c r="J52" s="165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363"/>
    </row>
    <row r="53" spans="1:25" ht="15.75">
      <c r="A53" s="100"/>
      <c r="B53" s="100"/>
      <c r="C53" s="100"/>
      <c r="D53" s="100"/>
      <c r="E53" s="100"/>
      <c r="F53" s="100"/>
      <c r="G53" s="89" t="s">
        <v>110</v>
      </c>
      <c r="H53" s="121"/>
      <c r="I53" s="165"/>
      <c r="J53" s="165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363"/>
    </row>
    <row r="54" spans="1:25">
      <c r="A54" s="100"/>
      <c r="B54" s="100"/>
      <c r="C54" s="100"/>
      <c r="D54" s="100"/>
      <c r="E54" s="100"/>
      <c r="F54" s="100"/>
      <c r="G54" s="100" t="s">
        <v>38</v>
      </c>
      <c r="H54" s="152"/>
      <c r="I54" s="152"/>
      <c r="J54" s="100"/>
      <c r="K54" s="214"/>
      <c r="L54" s="214"/>
      <c r="M54" s="214"/>
      <c r="N54" s="214">
        <f>'Asset base'!N601</f>
        <v>291277.10326118825</v>
      </c>
      <c r="O54" s="214">
        <f>'Asset base'!O601</f>
        <v>297393.9224296732</v>
      </c>
      <c r="P54" s="214">
        <f>'Asset base'!P601</f>
        <v>303639.19480069634</v>
      </c>
      <c r="Q54" s="214">
        <f>'Asset base'!Q601</f>
        <v>310015.61789151095</v>
      </c>
      <c r="R54" s="214">
        <f>'Asset base'!R601</f>
        <v>316525.94586723269</v>
      </c>
      <c r="S54" s="214">
        <f>'Asset base'!S601</f>
        <v>323172.99073044455</v>
      </c>
      <c r="T54" s="214">
        <f>'Asset base'!T601</f>
        <v>331252.31549870566</v>
      </c>
      <c r="U54" s="214">
        <f>'Asset base'!U601</f>
        <v>339533.62338617328</v>
      </c>
      <c r="V54" s="214">
        <f>'Asset base'!V601</f>
        <v>348021.96397082764</v>
      </c>
      <c r="W54" s="214">
        <f>'Asset base'!W601</f>
        <v>356722.51307009836</v>
      </c>
      <c r="X54" s="214">
        <f>'Asset base'!X601</f>
        <v>365640.57589685079</v>
      </c>
      <c r="Y54" s="380">
        <f>'Asset base'!Y601</f>
        <v>374781.59029427206</v>
      </c>
    </row>
    <row r="55" spans="1:25">
      <c r="A55" s="100"/>
      <c r="B55" s="100"/>
      <c r="C55" s="100"/>
      <c r="D55" s="100"/>
      <c r="E55" s="100"/>
      <c r="F55" s="100"/>
      <c r="G55" s="100" t="s">
        <v>37</v>
      </c>
      <c r="H55" s="152"/>
      <c r="I55" s="152"/>
      <c r="J55" s="100"/>
      <c r="K55" s="214"/>
      <c r="L55" s="214"/>
      <c r="M55" s="214"/>
      <c r="N55" s="214">
        <f>'Asset base'!N610</f>
        <v>35988.117213077276</v>
      </c>
      <c r="O55" s="214">
        <f>'Asset base'!O610</f>
        <v>33145.055953244169</v>
      </c>
      <c r="P55" s="214">
        <f>'Asset base'!P610</f>
        <v>30169.82334032072</v>
      </c>
      <c r="Q55" s="214">
        <f>'Asset base'!Q610</f>
        <v>27132.554213729978</v>
      </c>
      <c r="R55" s="214">
        <f>'Asset base'!R610</f>
        <v>24031.956882850427</v>
      </c>
      <c r="S55" s="214">
        <f>'Asset base'!S610</f>
        <v>20866.821099028995</v>
      </c>
      <c r="T55" s="214">
        <f>'Asset base'!T610</f>
        <v>17706.052060817885</v>
      </c>
      <c r="U55" s="214">
        <f>'Asset base'!U610</f>
        <v>14467.293765276709</v>
      </c>
      <c r="V55" s="214">
        <f>'Asset base'!V610</f>
        <v>11149.251034140907</v>
      </c>
      <c r="W55" s="214">
        <f>'Asset base'!W610</f>
        <v>7750.8539077688665</v>
      </c>
      <c r="X55" s="214">
        <f>'Asset base'!X610</f>
        <v>4272.020653165664</v>
      </c>
      <c r="Y55" s="380">
        <f>'Asset base'!Y610</f>
        <v>4314.8838892613576</v>
      </c>
    </row>
    <row r="56" spans="1:25">
      <c r="A56" s="100"/>
      <c r="B56" s="100"/>
      <c r="C56" s="100"/>
      <c r="D56" s="100"/>
      <c r="E56" s="100"/>
      <c r="F56" s="100"/>
      <c r="G56" s="100" t="s">
        <v>36</v>
      </c>
      <c r="H56" s="152"/>
      <c r="I56" s="152"/>
      <c r="J56" s="100"/>
      <c r="K56" s="214"/>
      <c r="L56" s="214"/>
      <c r="M56" s="214"/>
      <c r="N56" s="214">
        <f>'Asset base'!N619</f>
        <v>270337.36175554444</v>
      </c>
      <c r="O56" s="214">
        <f>'Asset base'!O619</f>
        <v>374943.41680594225</v>
      </c>
      <c r="P56" s="214">
        <f>'Asset base'!P619</f>
        <v>404653.61647200066</v>
      </c>
      <c r="Q56" s="214">
        <f>'Asset base'!Q619</f>
        <v>436397.70019080723</v>
      </c>
      <c r="R56" s="214">
        <f>'Asset base'!R619</f>
        <v>337880.76464630279</v>
      </c>
      <c r="S56" s="214">
        <f>'Asset base'!S619</f>
        <v>335491.54965484753</v>
      </c>
      <c r="T56" s="214">
        <f>'Asset base'!T619</f>
        <v>215010.88075363042</v>
      </c>
      <c r="U56" s="214">
        <f>'Asset base'!U619</f>
        <v>135255.93049990351</v>
      </c>
      <c r="V56" s="214">
        <f>'Asset base'!V619</f>
        <v>89731.546243068995</v>
      </c>
      <c r="W56" s="214">
        <f>'Asset base'!W619</f>
        <v>62970.671874205073</v>
      </c>
      <c r="X56" s="214">
        <f>'Asset base'!X619</f>
        <v>46968.445155194466</v>
      </c>
      <c r="Y56" s="380">
        <f>'Asset base'!Y619</f>
        <v>32306.872151066775</v>
      </c>
    </row>
    <row r="57" spans="1:25">
      <c r="A57" s="100"/>
      <c r="B57" s="100"/>
      <c r="C57" s="100"/>
      <c r="D57" s="100"/>
      <c r="E57" s="100"/>
      <c r="F57" s="100"/>
      <c r="G57" s="100" t="s">
        <v>35</v>
      </c>
      <c r="H57" s="152"/>
      <c r="I57" s="152"/>
      <c r="J57" s="100"/>
      <c r="K57" s="214"/>
      <c r="L57" s="214"/>
      <c r="M57" s="214"/>
      <c r="N57" s="214">
        <f>'Asset base'!N628</f>
        <v>0</v>
      </c>
      <c r="O57" s="214">
        <f>'Asset base'!O628</f>
        <v>0</v>
      </c>
      <c r="P57" s="214">
        <f>'Asset base'!P628</f>
        <v>0</v>
      </c>
      <c r="Q57" s="214">
        <f>'Asset base'!Q628</f>
        <v>0</v>
      </c>
      <c r="R57" s="214">
        <f>'Asset base'!R628</f>
        <v>0</v>
      </c>
      <c r="S57" s="214">
        <f>'Asset base'!S628</f>
        <v>0</v>
      </c>
      <c r="T57" s="214">
        <f>'Asset base'!T628</f>
        <v>0</v>
      </c>
      <c r="U57" s="214">
        <f>'Asset base'!U628</f>
        <v>0</v>
      </c>
      <c r="V57" s="214">
        <f>'Asset base'!V628</f>
        <v>0</v>
      </c>
      <c r="W57" s="214">
        <f>'Asset base'!W628</f>
        <v>0</v>
      </c>
      <c r="X57" s="214">
        <f>'Asset base'!X628</f>
        <v>0</v>
      </c>
      <c r="Y57" s="380">
        <f>'Asset base'!Y628</f>
        <v>0</v>
      </c>
    </row>
    <row r="58" spans="1:25">
      <c r="A58" s="100"/>
      <c r="B58" s="100"/>
      <c r="C58" s="100"/>
      <c r="D58" s="100"/>
      <c r="E58" s="100"/>
      <c r="F58" s="100"/>
      <c r="G58" s="100" t="s">
        <v>34</v>
      </c>
      <c r="H58" s="152"/>
      <c r="I58" s="152"/>
      <c r="J58" s="100"/>
      <c r="K58" s="214"/>
      <c r="L58" s="214"/>
      <c r="M58" s="214"/>
      <c r="N58" s="214">
        <f>'Asset base'!N637</f>
        <v>460098.2306231953</v>
      </c>
      <c r="O58" s="214">
        <f>'Asset base'!O637</f>
        <v>712044.56204386952</v>
      </c>
      <c r="P58" s="214">
        <f>'Asset base'!P637</f>
        <v>732782.44450219464</v>
      </c>
      <c r="Q58" s="214">
        <f>'Asset base'!Q637</f>
        <v>734248.19007518678</v>
      </c>
      <c r="R58" s="214">
        <f>'Asset base'!R637</f>
        <v>723155.99964908767</v>
      </c>
      <c r="S58" s="214">
        <f>'Asset base'!S637</f>
        <v>696957.6257808283</v>
      </c>
      <c r="T58" s="214">
        <f>'Asset base'!T637</f>
        <v>605555.32676194282</v>
      </c>
      <c r="U58" s="214">
        <f>'Asset base'!U637</f>
        <v>514153.02774305741</v>
      </c>
      <c r="V58" s="214">
        <f>'Asset base'!V637</f>
        <v>422750.72872417199</v>
      </c>
      <c r="W58" s="214">
        <f>'Asset base'!W637</f>
        <v>331348.42970528657</v>
      </c>
      <c r="X58" s="214">
        <f>'Asset base'!X637</f>
        <v>239946.13068640121</v>
      </c>
      <c r="Y58" s="380">
        <f>'Asset base'!Y637</f>
        <v>203552.18642663892</v>
      </c>
    </row>
    <row r="59" spans="1:25">
      <c r="A59" s="100"/>
      <c r="B59" s="100"/>
      <c r="C59" s="100"/>
      <c r="D59" s="100"/>
      <c r="E59" s="100"/>
      <c r="F59" s="100"/>
      <c r="G59" s="100" t="s">
        <v>33</v>
      </c>
      <c r="H59" s="152"/>
      <c r="I59" s="152"/>
      <c r="J59" s="100"/>
      <c r="K59" s="214"/>
      <c r="L59" s="214"/>
      <c r="M59" s="214"/>
      <c r="N59" s="214">
        <f>'Asset base'!N646</f>
        <v>0</v>
      </c>
      <c r="O59" s="214">
        <f>'Asset base'!O646</f>
        <v>0</v>
      </c>
      <c r="P59" s="214">
        <f>'Asset base'!P646</f>
        <v>0</v>
      </c>
      <c r="Q59" s="214">
        <f>'Asset base'!Q646</f>
        <v>0</v>
      </c>
      <c r="R59" s="214">
        <f>'Asset base'!R646</f>
        <v>0</v>
      </c>
      <c r="S59" s="214">
        <f>'Asset base'!S646</f>
        <v>0</v>
      </c>
      <c r="T59" s="214">
        <f>'Asset base'!T646</f>
        <v>0</v>
      </c>
      <c r="U59" s="214">
        <f>'Asset base'!U646</f>
        <v>0</v>
      </c>
      <c r="V59" s="214">
        <f>'Asset base'!V646</f>
        <v>0</v>
      </c>
      <c r="W59" s="214">
        <f>'Asset base'!W646</f>
        <v>0</v>
      </c>
      <c r="X59" s="214">
        <f>'Asset base'!X646</f>
        <v>0</v>
      </c>
      <c r="Y59" s="380">
        <f>'Asset base'!Y646</f>
        <v>0</v>
      </c>
    </row>
    <row r="60" spans="1:25">
      <c r="A60" s="100"/>
      <c r="B60" s="100"/>
      <c r="C60" s="100"/>
      <c r="D60" s="100"/>
      <c r="E60" s="100"/>
      <c r="F60" s="100"/>
      <c r="G60" s="100" t="s">
        <v>32</v>
      </c>
      <c r="H60" s="152"/>
      <c r="I60" s="152"/>
      <c r="J60" s="100"/>
      <c r="K60" s="214"/>
      <c r="L60" s="214"/>
      <c r="M60" s="214"/>
      <c r="N60" s="214">
        <f>'Asset base'!N655</f>
        <v>42831.267094524832</v>
      </c>
      <c r="O60" s="214">
        <f>'Asset base'!O655</f>
        <v>162290.004519087</v>
      </c>
      <c r="P60" s="214">
        <f>'Asset base'!P655</f>
        <v>181942.09422328317</v>
      </c>
      <c r="Q60" s="214">
        <f>'Asset base'!Q655</f>
        <v>163718.14138638505</v>
      </c>
      <c r="R60" s="214">
        <f>'Asset base'!R655</f>
        <v>143724.89653894087</v>
      </c>
      <c r="S60" s="214">
        <f>'Asset base'!S655</f>
        <v>199424.3495087192</v>
      </c>
      <c r="T60" s="214">
        <f>'Asset base'!T655</f>
        <v>177832.41922337774</v>
      </c>
      <c r="U60" s="214">
        <f>'Asset base'!U655</f>
        <v>156413.00841799931</v>
      </c>
      <c r="V60" s="214">
        <f>'Asset base'!V655</f>
        <v>134462.4390351336</v>
      </c>
      <c r="W60" s="214">
        <f>'Asset base'!W655</f>
        <v>111970.29521459017</v>
      </c>
      <c r="X60" s="214">
        <f>'Asset base'!X655</f>
        <v>88925.833800964858</v>
      </c>
      <c r="Y60" s="380">
        <f>'Asset base'!Y655</f>
        <v>71538.668952930966</v>
      </c>
    </row>
    <row r="61" spans="1:25">
      <c r="A61" s="100"/>
      <c r="B61" s="100"/>
      <c r="C61" s="100"/>
      <c r="D61" s="100"/>
      <c r="E61" s="100"/>
      <c r="F61" s="100"/>
      <c r="G61" s="100" t="s">
        <v>31</v>
      </c>
      <c r="H61" s="152"/>
      <c r="I61" s="152"/>
      <c r="J61" s="100"/>
      <c r="K61" s="214"/>
      <c r="L61" s="214"/>
      <c r="M61" s="214"/>
      <c r="N61" s="214">
        <f>'Asset base'!N664</f>
        <v>116169348.00098437</v>
      </c>
      <c r="O61" s="214">
        <f>'Asset base'!O664</f>
        <v>114985544.52423353</v>
      </c>
      <c r="P61" s="214">
        <f>'Asset base'!P664</f>
        <v>117655728.71036215</v>
      </c>
      <c r="Q61" s="214">
        <f>'Asset base'!Q664</f>
        <v>115689553.80028912</v>
      </c>
      <c r="R61" s="214">
        <f>'Asset base'!R664</f>
        <v>118509089.28487998</v>
      </c>
      <c r="S61" s="214">
        <f>'Asset base'!S664</f>
        <v>116324504.99329843</v>
      </c>
      <c r="T61" s="214">
        <f>'Asset base'!T664</f>
        <v>114468593.99022564</v>
      </c>
      <c r="U61" s="214">
        <f>'Asset base'!U664</f>
        <v>112567146.48772708</v>
      </c>
      <c r="V61" s="214">
        <f>'Asset base'!V664</f>
        <v>110618201.56727952</v>
      </c>
      <c r="W61" s="214">
        <f>'Asset base'!W664</f>
        <v>108620574.54155722</v>
      </c>
      <c r="X61" s="214">
        <f>'Asset base'!X664</f>
        <v>106573050.9074854</v>
      </c>
      <c r="Y61" s="380">
        <f>'Asset base'!Y664</f>
        <v>104515853.78605221</v>
      </c>
    </row>
    <row r="62" spans="1:25">
      <c r="A62" s="100"/>
      <c r="B62" s="100"/>
      <c r="C62" s="100"/>
      <c r="D62" s="100"/>
      <c r="E62" s="100"/>
      <c r="F62" s="100"/>
      <c r="G62" s="100" t="s">
        <v>30</v>
      </c>
      <c r="H62" s="152"/>
      <c r="I62" s="152"/>
      <c r="J62" s="100"/>
      <c r="K62" s="214"/>
      <c r="L62" s="214"/>
      <c r="M62" s="214"/>
      <c r="N62" s="214">
        <f>'Asset base'!N673</f>
        <v>0</v>
      </c>
      <c r="O62" s="214">
        <f>'Asset base'!O673</f>
        <v>0</v>
      </c>
      <c r="P62" s="214">
        <f>'Asset base'!P673</f>
        <v>0</v>
      </c>
      <c r="Q62" s="214">
        <f>'Asset base'!Q673</f>
        <v>0</v>
      </c>
      <c r="R62" s="214">
        <f>'Asset base'!R673</f>
        <v>0</v>
      </c>
      <c r="S62" s="214">
        <f>'Asset base'!S673</f>
        <v>0</v>
      </c>
      <c r="T62" s="214">
        <f>'Asset base'!T673</f>
        <v>0</v>
      </c>
      <c r="U62" s="214">
        <f>'Asset base'!U673</f>
        <v>0</v>
      </c>
      <c r="V62" s="214">
        <f>'Asset base'!V673</f>
        <v>0</v>
      </c>
      <c r="W62" s="214">
        <f>'Asset base'!W673</f>
        <v>0</v>
      </c>
      <c r="X62" s="214">
        <f>'Asset base'!X673</f>
        <v>0</v>
      </c>
      <c r="Y62" s="380">
        <f>'Asset base'!Y673</f>
        <v>0</v>
      </c>
    </row>
    <row r="63" spans="1:25">
      <c r="A63" s="100"/>
      <c r="B63" s="100"/>
      <c r="C63" s="100"/>
      <c r="D63" s="100"/>
      <c r="E63" s="100"/>
      <c r="F63" s="100"/>
      <c r="G63" s="100" t="s">
        <v>29</v>
      </c>
      <c r="H63" s="152"/>
      <c r="I63" s="152"/>
      <c r="J63" s="100"/>
      <c r="K63" s="214"/>
      <c r="L63" s="214"/>
      <c r="M63" s="214"/>
      <c r="N63" s="214">
        <f>'Asset base'!N682</f>
        <v>56653.908146312038</v>
      </c>
      <c r="O63" s="214">
        <f>'Asset base'!O682</f>
        <v>43826.950282922029</v>
      </c>
      <c r="P63" s="214">
        <f>'Asset base'!P682</f>
        <v>29347.611511752439</v>
      </c>
      <c r="Q63" s="214">
        <f>'Asset base'!Q682</f>
        <v>14901.473009006044</v>
      </c>
      <c r="R63" s="214">
        <f>'Asset base'!R682</f>
        <v>464.81877553646518</v>
      </c>
      <c r="S63" s="214">
        <f>'Asset base'!S682</f>
        <v>373.44021819117893</v>
      </c>
      <c r="T63" s="214">
        <f>'Asset base'!T682</f>
        <v>222.11778869462097</v>
      </c>
      <c r="U63" s="214">
        <f>'Asset base'!U682</f>
        <v>139.48196265961107</v>
      </c>
      <c r="V63" s="214">
        <f>'Asset base'!V682</f>
        <v>94.74356104100211</v>
      </c>
      <c r="W63" s="214">
        <f>'Asset base'!W682</f>
        <v>75.794848832801648</v>
      </c>
      <c r="X63" s="214">
        <f>'Asset base'!X682</f>
        <v>56.846136624601186</v>
      </c>
      <c r="Y63" s="380">
        <f>'Asset base'!Y682</f>
        <v>37.897424416400725</v>
      </c>
    </row>
    <row r="64" spans="1:25">
      <c r="A64" s="100"/>
      <c r="B64" s="100"/>
      <c r="C64" s="100"/>
      <c r="D64" s="100"/>
      <c r="E64" s="100"/>
      <c r="F64" s="100"/>
      <c r="G64" s="220"/>
      <c r="H64" s="266"/>
      <c r="I64" s="220"/>
      <c r="J64" s="220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385"/>
    </row>
    <row r="65" spans="1:25">
      <c r="A65" s="100"/>
      <c r="B65" s="100"/>
      <c r="C65" s="100"/>
      <c r="D65" s="100"/>
      <c r="E65" s="100"/>
      <c r="F65" s="100"/>
      <c r="G65" s="100" t="s">
        <v>109</v>
      </c>
      <c r="H65" s="102"/>
      <c r="I65" s="100"/>
      <c r="J65" s="100"/>
      <c r="K65" s="152">
        <f t="shared" ref="K65:X65" si="4">SUM(K54:K64)</f>
        <v>0</v>
      </c>
      <c r="L65" s="152">
        <f t="shared" si="4"/>
        <v>0</v>
      </c>
      <c r="M65" s="152">
        <f t="shared" si="4"/>
        <v>0</v>
      </c>
      <c r="N65" s="152">
        <f t="shared" si="4"/>
        <v>117326533.98907821</v>
      </c>
      <c r="O65" s="152">
        <f t="shared" si="4"/>
        <v>116609188.43626827</v>
      </c>
      <c r="P65" s="152">
        <f t="shared" si="4"/>
        <v>119338263.49521241</v>
      </c>
      <c r="Q65" s="152">
        <f t="shared" si="4"/>
        <v>117375967.47705574</v>
      </c>
      <c r="R65" s="152">
        <f t="shared" si="4"/>
        <v>120054873.66723993</v>
      </c>
      <c r="S65" s="152">
        <f t="shared" si="4"/>
        <v>117900791.77029049</v>
      </c>
      <c r="T65" s="152">
        <f t="shared" si="4"/>
        <v>115816173.1023128</v>
      </c>
      <c r="U65" s="152">
        <f t="shared" si="4"/>
        <v>113727108.85350215</v>
      </c>
      <c r="V65" s="152">
        <f t="shared" si="4"/>
        <v>111624412.2398479</v>
      </c>
      <c r="W65" s="152">
        <f t="shared" si="4"/>
        <v>109491413.100178</v>
      </c>
      <c r="X65" s="152">
        <f t="shared" si="4"/>
        <v>107318860.75981461</v>
      </c>
      <c r="Y65" s="363">
        <f>Y11</f>
        <v>517535560.49594361</v>
      </c>
    </row>
    <row r="66" spans="1:25">
      <c r="A66" s="100"/>
      <c r="B66" s="100"/>
      <c r="C66" s="100"/>
      <c r="D66" s="100"/>
      <c r="E66" s="100"/>
      <c r="F66" s="100"/>
      <c r="G66" s="134"/>
      <c r="H66" s="102"/>
      <c r="I66" s="100"/>
      <c r="J66" s="100"/>
      <c r="K66" s="263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363"/>
    </row>
    <row r="67" spans="1:25">
      <c r="A67" s="100"/>
      <c r="B67" s="100"/>
      <c r="C67" s="100"/>
      <c r="D67" s="100"/>
      <c r="E67" s="100"/>
      <c r="F67" s="100"/>
      <c r="G67" s="103" t="s">
        <v>108</v>
      </c>
      <c r="H67" s="102"/>
      <c r="I67" s="100"/>
      <c r="J67" s="100"/>
      <c r="K67" s="152">
        <f>K65</f>
        <v>0</v>
      </c>
      <c r="L67" s="152">
        <f t="shared" ref="L67:S67" si="5">AVERAGE(K65:L65)</f>
        <v>0</v>
      </c>
      <c r="M67" s="152">
        <f t="shared" si="5"/>
        <v>0</v>
      </c>
      <c r="N67" s="152">
        <f>AVERAGE(N65)</f>
        <v>117326533.98907821</v>
      </c>
      <c r="O67" s="152">
        <f t="shared" si="5"/>
        <v>116967861.21267325</v>
      </c>
      <c r="P67" s="152">
        <f t="shared" si="5"/>
        <v>117973725.96574034</v>
      </c>
      <c r="Q67" s="152">
        <f t="shared" si="5"/>
        <v>118357115.48613408</v>
      </c>
      <c r="R67" s="152">
        <f t="shared" si="5"/>
        <v>118715420.57214785</v>
      </c>
      <c r="S67" s="152">
        <f t="shared" si="5"/>
        <v>118977832.71876521</v>
      </c>
      <c r="T67" s="152">
        <f>AVERAGE(S65:T65)</f>
        <v>116858482.43630165</v>
      </c>
      <c r="U67" s="152">
        <f>AVERAGE(T65:U65)</f>
        <v>114771640.97790748</v>
      </c>
      <c r="V67" s="152">
        <f>AVERAGE(U65:V65)</f>
        <v>112675760.54667503</v>
      </c>
      <c r="W67" s="152">
        <f>AVERAGE(V65:W65)</f>
        <v>110557912.67001295</v>
      </c>
      <c r="X67" s="152">
        <f>AVERAGE(W65:X65)</f>
        <v>108405136.92999631</v>
      </c>
      <c r="Y67" s="363">
        <f>Y65</f>
        <v>517535560.49594361</v>
      </c>
    </row>
    <row r="68" spans="1:25" s="275" customFormat="1">
      <c r="A68" s="278"/>
      <c r="B68" s="278"/>
      <c r="C68" s="278"/>
      <c r="D68" s="278"/>
      <c r="E68" s="278"/>
      <c r="F68" s="278"/>
      <c r="G68" s="280" t="s">
        <v>107</v>
      </c>
      <c r="H68" s="279"/>
      <c r="I68" s="278"/>
      <c r="J68" s="278"/>
      <c r="K68" s="277"/>
      <c r="L68" s="277"/>
      <c r="M68" s="276"/>
      <c r="N68" s="276">
        <f>WACC!N32</f>
        <v>0.13554266666666667</v>
      </c>
      <c r="O68" s="276">
        <f>WACC!O32</f>
        <v>0.13554266666666667</v>
      </c>
      <c r="P68" s="276">
        <f>WACC!P32</f>
        <v>0.13554266666666667</v>
      </c>
      <c r="Q68" s="276">
        <f>WACC!Q32</f>
        <v>0.13554266666666667</v>
      </c>
      <c r="R68" s="276">
        <f>WACC!R32</f>
        <v>0.13554266666666667</v>
      </c>
      <c r="S68" s="276">
        <f>WACC!S32</f>
        <v>0.13554266666666667</v>
      </c>
      <c r="T68" s="276">
        <f>WACC!T32</f>
        <v>0.13554266666666667</v>
      </c>
      <c r="U68" s="276">
        <f>WACC!U32</f>
        <v>0.13554266666666667</v>
      </c>
      <c r="V68" s="276">
        <f>WACC!V32</f>
        <v>0.13554266666666667</v>
      </c>
      <c r="W68" s="276">
        <f>WACC!W32</f>
        <v>0.13554266666666667</v>
      </c>
      <c r="X68" s="276">
        <f>WACC!X32</f>
        <v>0.13554266666666667</v>
      </c>
      <c r="Y68" s="386">
        <f>WACC!Y32</f>
        <v>0.13554266666666667</v>
      </c>
    </row>
    <row r="69" spans="1:25">
      <c r="A69" s="100"/>
      <c r="B69" s="100"/>
      <c r="C69" s="100"/>
      <c r="D69" s="100"/>
      <c r="E69" s="100"/>
      <c r="F69" s="100"/>
      <c r="G69" s="103" t="s">
        <v>106</v>
      </c>
      <c r="H69" s="102"/>
      <c r="I69" s="100"/>
      <c r="J69" s="100"/>
      <c r="K69" s="152">
        <f t="shared" ref="K69:S69" si="6">(K67*K68)</f>
        <v>0</v>
      </c>
      <c r="L69" s="152">
        <f t="shared" si="6"/>
        <v>0</v>
      </c>
      <c r="M69" s="152">
        <f t="shared" si="6"/>
        <v>0</v>
      </c>
      <c r="N69" s="152">
        <f t="shared" si="6"/>
        <v>15902751.287636966</v>
      </c>
      <c r="O69" s="152">
        <f t="shared" si="6"/>
        <v>15854135.823062299</v>
      </c>
      <c r="P69" s="152">
        <f t="shared" si="6"/>
        <v>15990473.413999021</v>
      </c>
      <c r="Q69" s="152">
        <f t="shared" si="6"/>
        <v>16042439.051965244</v>
      </c>
      <c r="R69" s="152">
        <f t="shared" si="6"/>
        <v>16091004.678803779</v>
      </c>
      <c r="S69" s="152">
        <f t="shared" si="6"/>
        <v>16126572.720922021</v>
      </c>
      <c r="T69" s="152">
        <f t="shared" ref="T69:Y69" si="7">(T67*T68)</f>
        <v>15839310.332036156</v>
      </c>
      <c r="U69" s="152">
        <f t="shared" si="7"/>
        <v>15556454.275854854</v>
      </c>
      <c r="V69" s="152">
        <f t="shared" si="7"/>
        <v>15272373.053191125</v>
      </c>
      <c r="W69" s="152">
        <f t="shared" si="7"/>
        <v>14985314.304394009</v>
      </c>
      <c r="X69" s="152">
        <f t="shared" si="7"/>
        <v>14693521.339856848</v>
      </c>
      <c r="Y69" s="363">
        <f t="shared" si="7"/>
        <v>70148149.964448184</v>
      </c>
    </row>
    <row r="70" spans="1:25">
      <c r="A70" s="100"/>
      <c r="B70" s="100"/>
      <c r="C70" s="100"/>
      <c r="D70" s="100"/>
      <c r="E70" s="100"/>
      <c r="F70" s="100"/>
      <c r="G70" s="134"/>
      <c r="H70" s="102"/>
      <c r="I70" s="100"/>
      <c r="J70" s="100"/>
      <c r="K70" s="263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363"/>
    </row>
    <row r="71" spans="1:25">
      <c r="A71" s="100"/>
      <c r="B71" s="100"/>
      <c r="C71" s="100"/>
      <c r="D71" s="100"/>
      <c r="E71" s="100"/>
      <c r="F71" s="100"/>
      <c r="G71" s="100"/>
      <c r="H71" s="102"/>
      <c r="I71" s="100"/>
      <c r="J71" s="100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363"/>
    </row>
    <row r="72" spans="1:25" ht="15.75">
      <c r="A72" s="130"/>
      <c r="B72" s="130"/>
      <c r="C72" s="130"/>
      <c r="D72" s="130"/>
      <c r="E72" s="130"/>
      <c r="F72" s="130"/>
      <c r="G72" s="162" t="s">
        <v>144</v>
      </c>
      <c r="H72" s="161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359"/>
    </row>
    <row r="73" spans="1: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352"/>
    </row>
    <row r="74" spans="1:25">
      <c r="A74" s="100"/>
      <c r="B74" s="100"/>
      <c r="C74" s="100"/>
      <c r="D74" s="100"/>
      <c r="E74" s="100"/>
      <c r="F74" t="s">
        <v>249</v>
      </c>
      <c r="G74" s="103"/>
      <c r="H74" s="102"/>
      <c r="I74" s="100"/>
      <c r="J74" s="100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363"/>
    </row>
    <row r="75" spans="1:25">
      <c r="G75" s="103" t="s">
        <v>105</v>
      </c>
      <c r="K75" s="152">
        <f t="shared" ref="K75:Y75" si="8">K27+K30</f>
        <v>0</v>
      </c>
      <c r="L75" s="152">
        <f t="shared" si="8"/>
        <v>0</v>
      </c>
      <c r="M75" s="152">
        <f t="shared" si="8"/>
        <v>0</v>
      </c>
      <c r="N75" s="152">
        <f t="shared" si="8"/>
        <v>8575979.0709703229</v>
      </c>
      <c r="O75" s="152">
        <f t="shared" si="8"/>
        <v>7653853.2304941807</v>
      </c>
      <c r="P75" s="152">
        <f t="shared" si="8"/>
        <v>8138246.283968498</v>
      </c>
      <c r="Q75" s="152">
        <f t="shared" si="8"/>
        <v>8336643.2435770836</v>
      </c>
      <c r="R75" s="152">
        <f t="shared" si="8"/>
        <v>8585773.1144020148</v>
      </c>
      <c r="S75" s="152">
        <f t="shared" si="8"/>
        <v>8774596.2984820493</v>
      </c>
      <c r="T75" s="152">
        <f t="shared" si="8"/>
        <v>8957735.0815938599</v>
      </c>
      <c r="U75" s="152">
        <f t="shared" si="8"/>
        <v>9187651.4815291855</v>
      </c>
      <c r="V75" s="152">
        <f t="shared" si="8"/>
        <v>9424243.2751349341</v>
      </c>
      <c r="W75" s="152">
        <f t="shared" si="8"/>
        <v>9665087.0185055416</v>
      </c>
      <c r="X75" s="152">
        <f t="shared" si="8"/>
        <v>9943457.726523336</v>
      </c>
      <c r="Y75" s="363">
        <f t="shared" si="8"/>
        <v>59250799.501972884</v>
      </c>
    </row>
    <row r="76" spans="1:25">
      <c r="G76" s="103" t="s">
        <v>104</v>
      </c>
      <c r="K76" s="164">
        <f t="shared" ref="K76:X76" si="9">K48</f>
        <v>0</v>
      </c>
      <c r="L76" s="164">
        <f t="shared" si="9"/>
        <v>0</v>
      </c>
      <c r="M76" s="164">
        <f t="shared" si="9"/>
        <v>0</v>
      </c>
      <c r="N76" s="164">
        <f t="shared" si="9"/>
        <v>0</v>
      </c>
      <c r="O76" s="164">
        <f t="shared" si="9"/>
        <v>4620260.2537422078</v>
      </c>
      <c r="P76" s="164">
        <f t="shared" si="9"/>
        <v>4778934.5177499549</v>
      </c>
      <c r="Q76" s="164">
        <f t="shared" si="9"/>
        <v>4843728.0807042336</v>
      </c>
      <c r="R76" s="164">
        <f t="shared" si="9"/>
        <v>5117907.9637269946</v>
      </c>
      <c r="S76" s="164">
        <f t="shared" si="9"/>
        <v>5151583.9802951571</v>
      </c>
      <c r="T76" s="164">
        <f t="shared" si="9"/>
        <v>5006317.8968435973</v>
      </c>
      <c r="U76" s="164">
        <f t="shared" si="9"/>
        <v>4963948.868235888</v>
      </c>
      <c r="V76" s="164">
        <f t="shared" si="9"/>
        <v>4929635.623986654</v>
      </c>
      <c r="W76" s="164">
        <f t="shared" si="9"/>
        <v>4910795.0202028854</v>
      </c>
      <c r="X76" s="164">
        <f t="shared" si="9"/>
        <v>4899977.7954571499</v>
      </c>
      <c r="Y76" s="363">
        <f>Y48</f>
        <v>24429694.657929353</v>
      </c>
    </row>
    <row r="77" spans="1:25">
      <c r="G77" s="103" t="s">
        <v>282</v>
      </c>
      <c r="K77" s="164">
        <f t="shared" ref="K77:S77" si="10">K69</f>
        <v>0</v>
      </c>
      <c r="L77" s="164">
        <f t="shared" si="10"/>
        <v>0</v>
      </c>
      <c r="M77" s="164">
        <f t="shared" si="10"/>
        <v>0</v>
      </c>
      <c r="N77" s="164">
        <f t="shared" si="10"/>
        <v>15902751.287636966</v>
      </c>
      <c r="O77" s="164">
        <f t="shared" si="10"/>
        <v>15854135.823062299</v>
      </c>
      <c r="P77" s="164">
        <f t="shared" si="10"/>
        <v>15990473.413999021</v>
      </c>
      <c r="Q77" s="164">
        <f t="shared" si="10"/>
        <v>16042439.051965244</v>
      </c>
      <c r="R77" s="164">
        <f t="shared" si="10"/>
        <v>16091004.678803779</v>
      </c>
      <c r="S77" s="164">
        <f t="shared" si="10"/>
        <v>16126572.720922021</v>
      </c>
      <c r="T77" s="164">
        <f t="shared" ref="T77:Y77" si="11">T69</f>
        <v>15839310.332036156</v>
      </c>
      <c r="U77" s="164">
        <f t="shared" si="11"/>
        <v>15556454.275854854</v>
      </c>
      <c r="V77" s="164">
        <f t="shared" si="11"/>
        <v>15272373.053191125</v>
      </c>
      <c r="W77" s="164">
        <f t="shared" si="11"/>
        <v>14985314.304394009</v>
      </c>
      <c r="X77" s="164">
        <f t="shared" si="11"/>
        <v>14693521.339856848</v>
      </c>
      <c r="Y77" s="363">
        <f t="shared" si="11"/>
        <v>70148149.964448184</v>
      </c>
    </row>
    <row r="78" spans="1:25">
      <c r="G78" s="103" t="s">
        <v>208</v>
      </c>
      <c r="K78" s="164">
        <f t="shared" ref="K78:X78" si="12">-K31</f>
        <v>0</v>
      </c>
      <c r="L78" s="164">
        <f t="shared" si="12"/>
        <v>0</v>
      </c>
      <c r="M78" s="164">
        <f t="shared" si="12"/>
        <v>0</v>
      </c>
      <c r="N78" s="164">
        <f t="shared" si="12"/>
        <v>0</v>
      </c>
      <c r="O78" s="164">
        <f t="shared" si="12"/>
        <v>-2447328.3342596162</v>
      </c>
      <c r="P78" s="164">
        <f t="shared" si="12"/>
        <v>-2425045.8436498465</v>
      </c>
      <c r="Q78" s="164">
        <f t="shared" si="12"/>
        <v>-2481601.0762772555</v>
      </c>
      <c r="R78" s="164">
        <f t="shared" si="12"/>
        <v>-2439998.8223893959</v>
      </c>
      <c r="S78" s="164">
        <f t="shared" si="12"/>
        <v>-2498860.8137675496</v>
      </c>
      <c r="T78" s="164">
        <f t="shared" si="12"/>
        <v>-2921699.2288659154</v>
      </c>
      <c r="U78" s="164">
        <f t="shared" si="12"/>
        <v>-2874884.6194252134</v>
      </c>
      <c r="V78" s="164">
        <f t="shared" si="12"/>
        <v>-2826939.0103324135</v>
      </c>
      <c r="W78" s="164">
        <f t="shared" si="12"/>
        <v>-2777795.8805329907</v>
      </c>
      <c r="X78" s="164">
        <f t="shared" si="12"/>
        <v>-2727425.4550937419</v>
      </c>
      <c r="Y78" s="363">
        <f>-Y31</f>
        <v>-13209396.005994601</v>
      </c>
    </row>
    <row r="79" spans="1:25">
      <c r="G79" s="103" t="s">
        <v>207</v>
      </c>
      <c r="K79" s="164"/>
      <c r="L79" s="164"/>
      <c r="M79" s="164"/>
      <c r="N79" s="164">
        <f>-'09-12 revaluation booked income'!N18</f>
        <v>0</v>
      </c>
      <c r="O79" s="164">
        <f>-'09-12 revaluation booked income'!O18</f>
        <v>-192002.51084017698</v>
      </c>
      <c r="P79" s="164">
        <f>-'09-12 revaluation booked income'!P18</f>
        <v>-192002.51084017698</v>
      </c>
      <c r="Q79" s="164">
        <f>-'09-12 revaluation booked income'!Q18</f>
        <v>-192002.51084017698</v>
      </c>
      <c r="R79" s="164">
        <f>-'09-12 revaluation booked income'!R18</f>
        <v>-192002.51084017698</v>
      </c>
      <c r="S79" s="164">
        <f>-'09-12 revaluation booked income'!S18</f>
        <v>-192002.51084017698</v>
      </c>
      <c r="T79" s="164">
        <f>-'09-12 revaluation booked income'!T18</f>
        <v>0</v>
      </c>
      <c r="U79" s="164">
        <f>-'09-12 revaluation booked income'!U18</f>
        <v>0</v>
      </c>
      <c r="V79" s="164">
        <f>-'09-12 revaluation booked income'!V18</f>
        <v>0</v>
      </c>
      <c r="W79" s="164">
        <f>-'09-12 revaluation booked income'!W18</f>
        <v>0</v>
      </c>
      <c r="X79" s="164">
        <f>-'09-12 revaluation booked income'!X18</f>
        <v>0</v>
      </c>
      <c r="Y79" s="164">
        <f>-'09-12 revaluation booked income'!Y18</f>
        <v>0</v>
      </c>
    </row>
    <row r="80" spans="1:25">
      <c r="G80" s="262" t="s">
        <v>141</v>
      </c>
      <c r="H80" s="261"/>
      <c r="I80" s="261"/>
      <c r="J80" s="261"/>
      <c r="K80" s="261"/>
      <c r="L80" s="261"/>
      <c r="M80" s="261"/>
      <c r="N80" s="166">
        <f>SUM(N75:N79)</f>
        <v>24478730.358607288</v>
      </c>
      <c r="O80" s="166">
        <f t="shared" ref="O80:Y80" si="13">SUM(O75:O79)</f>
        <v>25488918.462198898</v>
      </c>
      <c r="P80" s="166">
        <f t="shared" si="13"/>
        <v>26290605.861227449</v>
      </c>
      <c r="Q80" s="166">
        <f t="shared" si="13"/>
        <v>26549206.789129127</v>
      </c>
      <c r="R80" s="166">
        <f t="shared" si="13"/>
        <v>27162684.423703216</v>
      </c>
      <c r="S80" s="166">
        <f t="shared" si="13"/>
        <v>27361889.675091501</v>
      </c>
      <c r="T80" s="166">
        <f t="shared" si="13"/>
        <v>26881664.081607699</v>
      </c>
      <c r="U80" s="166">
        <f t="shared" si="13"/>
        <v>26833170.006194711</v>
      </c>
      <c r="V80" s="166">
        <f t="shared" si="13"/>
        <v>26799312.941980302</v>
      </c>
      <c r="W80" s="166">
        <f t="shared" si="13"/>
        <v>26783400.462569442</v>
      </c>
      <c r="X80" s="166">
        <f t="shared" si="13"/>
        <v>26809531.406743594</v>
      </c>
      <c r="Y80" s="166">
        <f t="shared" si="13"/>
        <v>140619248.11835584</v>
      </c>
    </row>
    <row r="83" spans="6:25">
      <c r="F83" t="s">
        <v>250</v>
      </c>
    </row>
    <row r="84" spans="6:25">
      <c r="G84" s="103" t="s">
        <v>105</v>
      </c>
      <c r="N84" s="152"/>
      <c r="O84" s="574">
        <f>O75*seven_months</f>
        <v>4464747.7177882725</v>
      </c>
      <c r="P84" s="152">
        <f t="shared" ref="P84:Y88" si="14">P75</f>
        <v>8138246.283968498</v>
      </c>
      <c r="Q84" s="152">
        <f t="shared" si="14"/>
        <v>8336643.2435770836</v>
      </c>
      <c r="R84" s="152">
        <f t="shared" si="14"/>
        <v>8585773.1144020148</v>
      </c>
      <c r="S84" s="152">
        <f t="shared" si="14"/>
        <v>8774596.2984820493</v>
      </c>
      <c r="T84" s="152">
        <f t="shared" si="14"/>
        <v>8957735.0815938599</v>
      </c>
      <c r="U84" s="152">
        <f t="shared" si="14"/>
        <v>9187651.4815291855</v>
      </c>
      <c r="V84" s="152">
        <f t="shared" si="14"/>
        <v>9424243.2751349341</v>
      </c>
      <c r="W84" s="152">
        <f t="shared" si="14"/>
        <v>9665087.0185055416</v>
      </c>
      <c r="X84" s="152">
        <f t="shared" si="14"/>
        <v>9943457.726523336</v>
      </c>
      <c r="Y84" s="152">
        <f t="shared" si="14"/>
        <v>59250799.501972884</v>
      </c>
    </row>
    <row r="85" spans="6:25">
      <c r="G85" s="103" t="s">
        <v>104</v>
      </c>
      <c r="N85" s="152"/>
      <c r="O85" s="574">
        <f>O76*seven_months</f>
        <v>2695151.8146829549</v>
      </c>
      <c r="P85" s="152">
        <f t="shared" si="14"/>
        <v>4778934.5177499549</v>
      </c>
      <c r="Q85" s="152">
        <f t="shared" si="14"/>
        <v>4843728.0807042336</v>
      </c>
      <c r="R85" s="152">
        <f t="shared" si="14"/>
        <v>5117907.9637269946</v>
      </c>
      <c r="S85" s="152">
        <f t="shared" si="14"/>
        <v>5151583.9802951571</v>
      </c>
      <c r="T85" s="152">
        <f t="shared" si="14"/>
        <v>5006317.8968435973</v>
      </c>
      <c r="U85" s="152">
        <f t="shared" si="14"/>
        <v>4963948.868235888</v>
      </c>
      <c r="V85" s="152">
        <f t="shared" si="14"/>
        <v>4929635.623986654</v>
      </c>
      <c r="W85" s="152">
        <f t="shared" si="14"/>
        <v>4910795.0202028854</v>
      </c>
      <c r="X85" s="152">
        <f t="shared" si="14"/>
        <v>4899977.7954571499</v>
      </c>
      <c r="Y85" s="152">
        <f t="shared" si="14"/>
        <v>24429694.657929353</v>
      </c>
    </row>
    <row r="86" spans="6:25">
      <c r="G86" s="103" t="s">
        <v>282</v>
      </c>
      <c r="N86" s="152"/>
      <c r="O86" s="574">
        <f>O77*seven_months</f>
        <v>9248245.8967863414</v>
      </c>
      <c r="P86" s="152">
        <f t="shared" si="14"/>
        <v>15990473.413999021</v>
      </c>
      <c r="Q86" s="152">
        <f t="shared" si="14"/>
        <v>16042439.051965244</v>
      </c>
      <c r="R86" s="152">
        <f t="shared" si="14"/>
        <v>16091004.678803779</v>
      </c>
      <c r="S86" s="152">
        <f t="shared" si="14"/>
        <v>16126572.720922021</v>
      </c>
      <c r="T86" s="152">
        <f t="shared" si="14"/>
        <v>15839310.332036156</v>
      </c>
      <c r="U86" s="152">
        <f t="shared" si="14"/>
        <v>15556454.275854854</v>
      </c>
      <c r="V86" s="152">
        <f t="shared" si="14"/>
        <v>15272373.053191125</v>
      </c>
      <c r="W86" s="152">
        <f t="shared" si="14"/>
        <v>14985314.304394009</v>
      </c>
      <c r="X86" s="152">
        <f t="shared" si="14"/>
        <v>14693521.339856848</v>
      </c>
      <c r="Y86" s="152">
        <f t="shared" si="14"/>
        <v>70148149.964448184</v>
      </c>
    </row>
    <row r="87" spans="6:25" ht="14.25" customHeight="1">
      <c r="G87" s="103" t="s">
        <v>208</v>
      </c>
      <c r="N87" s="152"/>
      <c r="O87" s="574">
        <f>O78*seven_months</f>
        <v>-1427608.1949847762</v>
      </c>
      <c r="P87" s="152">
        <f t="shared" si="14"/>
        <v>-2425045.8436498465</v>
      </c>
      <c r="Q87" s="152">
        <f t="shared" si="14"/>
        <v>-2481601.0762772555</v>
      </c>
      <c r="R87" s="152">
        <f t="shared" si="14"/>
        <v>-2439998.8223893959</v>
      </c>
      <c r="S87" s="152">
        <f t="shared" si="14"/>
        <v>-2498860.8137675496</v>
      </c>
      <c r="T87" s="152">
        <f t="shared" si="14"/>
        <v>-2921699.2288659154</v>
      </c>
      <c r="U87" s="152">
        <f t="shared" si="14"/>
        <v>-2874884.6194252134</v>
      </c>
      <c r="V87" s="152">
        <f t="shared" si="14"/>
        <v>-2826939.0103324135</v>
      </c>
      <c r="W87" s="152">
        <f t="shared" si="14"/>
        <v>-2777795.8805329907</v>
      </c>
      <c r="X87" s="152">
        <f t="shared" si="14"/>
        <v>-2727425.4550937419</v>
      </c>
      <c r="Y87" s="152">
        <f t="shared" si="14"/>
        <v>-13209396.005994601</v>
      </c>
    </row>
    <row r="88" spans="6:25" ht="14.25" customHeight="1">
      <c r="G88" s="103" t="s">
        <v>207</v>
      </c>
      <c r="N88" s="152"/>
      <c r="O88" s="152">
        <f>O79</f>
        <v>-192002.51084017698</v>
      </c>
      <c r="P88" s="152">
        <f t="shared" si="14"/>
        <v>-192002.51084017698</v>
      </c>
      <c r="Q88" s="152">
        <f t="shared" si="14"/>
        <v>-192002.51084017698</v>
      </c>
      <c r="R88" s="152">
        <f t="shared" si="14"/>
        <v>-192002.51084017698</v>
      </c>
      <c r="S88" s="152">
        <f t="shared" si="14"/>
        <v>-192002.51084017698</v>
      </c>
      <c r="T88" s="152">
        <f t="shared" si="14"/>
        <v>0</v>
      </c>
      <c r="U88" s="152">
        <f t="shared" si="14"/>
        <v>0</v>
      </c>
      <c r="V88" s="152">
        <f t="shared" si="14"/>
        <v>0</v>
      </c>
      <c r="W88" s="152">
        <f t="shared" si="14"/>
        <v>0</v>
      </c>
      <c r="X88" s="152">
        <f t="shared" si="14"/>
        <v>0</v>
      </c>
      <c r="Y88" s="152">
        <f t="shared" si="14"/>
        <v>0</v>
      </c>
    </row>
    <row r="89" spans="6:25">
      <c r="G89" s="262" t="s">
        <v>141</v>
      </c>
      <c r="H89" s="261"/>
      <c r="I89" s="261"/>
      <c r="J89" s="261"/>
      <c r="K89" s="261"/>
      <c r="L89" s="261"/>
      <c r="M89" s="261"/>
      <c r="N89" s="166"/>
      <c r="O89" s="166">
        <f t="shared" ref="O89:Y89" si="15">SUM(O84:O88)</f>
        <v>14788534.723432614</v>
      </c>
      <c r="P89" s="166">
        <f t="shared" si="15"/>
        <v>26290605.861227449</v>
      </c>
      <c r="Q89" s="166">
        <f t="shared" si="15"/>
        <v>26549206.789129127</v>
      </c>
      <c r="R89" s="166">
        <f t="shared" si="15"/>
        <v>27162684.423703216</v>
      </c>
      <c r="S89" s="166">
        <f t="shared" si="15"/>
        <v>27361889.675091501</v>
      </c>
      <c r="T89" s="166">
        <f t="shared" si="15"/>
        <v>26881664.081607699</v>
      </c>
      <c r="U89" s="166">
        <f t="shared" si="15"/>
        <v>26833170.006194711</v>
      </c>
      <c r="V89" s="166">
        <f t="shared" si="15"/>
        <v>26799312.941980302</v>
      </c>
      <c r="W89" s="166">
        <f t="shared" si="15"/>
        <v>26783400.462569442</v>
      </c>
      <c r="X89" s="166">
        <f t="shared" si="15"/>
        <v>26809531.406743594</v>
      </c>
      <c r="Y89" s="166">
        <f t="shared" si="15"/>
        <v>140619248.11835584</v>
      </c>
    </row>
  </sheetData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8"/>
    <pageSetUpPr fitToPage="1"/>
  </sheetPr>
  <dimension ref="A1:Y86"/>
  <sheetViews>
    <sheetView showGridLines="0" zoomScale="85" zoomScaleNormal="85" zoomScaleSheetLayoutView="55" workbookViewId="0">
      <pane ySplit="7" topLeftCell="A56" activePane="bottomLeft" state="frozen"/>
      <selection activeCell="E242" sqref="E242"/>
      <selection pane="bottomLeft" activeCell="G83" sqref="G83"/>
    </sheetView>
  </sheetViews>
  <sheetFormatPr defaultColWidth="0" defaultRowHeight="12.75" outlineLevelCol="1"/>
  <cols>
    <col min="1" max="5" width="1.7109375" bestFit="1" customWidth="1" outlineLevel="1"/>
    <col min="6" max="6" width="1.7109375" bestFit="1" customWidth="1"/>
    <col min="7" max="7" width="28.28515625" customWidth="1"/>
    <col min="8" max="8" width="1.7109375" customWidth="1"/>
    <col min="9" max="9" width="14.7109375" bestFit="1" customWidth="1"/>
    <col min="10" max="10" width="2.42578125" bestFit="1" customWidth="1"/>
    <col min="11" max="11" width="8.140625" bestFit="1" customWidth="1"/>
    <col min="12" max="12" width="7.7109375" bestFit="1" customWidth="1"/>
    <col min="13" max="13" width="8.28515625" bestFit="1" customWidth="1"/>
    <col min="14" max="16" width="9.140625" bestFit="1" customWidth="1"/>
    <col min="17" max="24" width="8.5703125" bestFit="1" customWidth="1"/>
    <col min="25" max="25" width="11.140625" style="344" bestFit="1" customWidth="1"/>
    <col min="26" max="16384" width="8.85546875" hidden="1"/>
  </cols>
  <sheetData>
    <row r="1" spans="1: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355"/>
    </row>
    <row r="2" spans="1:25" ht="21">
      <c r="A2" s="129"/>
      <c r="B2" s="129"/>
      <c r="C2" s="129"/>
      <c r="D2" s="129"/>
      <c r="E2" s="129"/>
      <c r="F2" s="129"/>
      <c r="G2" s="132" t="s">
        <v>27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355"/>
    </row>
    <row r="3" spans="1:25">
      <c r="A3" s="129"/>
      <c r="B3" s="129"/>
      <c r="C3" s="129"/>
      <c r="D3" s="129"/>
      <c r="E3" s="129"/>
      <c r="F3" s="129"/>
      <c r="G3" s="131">
        <v>0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55"/>
    </row>
    <row r="4" spans="1:25">
      <c r="A4" s="129"/>
      <c r="B4" s="129"/>
      <c r="C4" s="129"/>
      <c r="D4" s="129"/>
      <c r="E4" s="129"/>
      <c r="F4" s="129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355"/>
    </row>
    <row r="5" spans="1:25">
      <c r="A5" s="127">
        <v>1</v>
      </c>
      <c r="B5" s="127">
        <f t="shared" ref="B5:S5" si="0">A5+1</f>
        <v>2</v>
      </c>
      <c r="C5" s="127">
        <f t="shared" si="0"/>
        <v>3</v>
      </c>
      <c r="D5" s="127">
        <f t="shared" si="0"/>
        <v>4</v>
      </c>
      <c r="E5" s="127">
        <f t="shared" si="0"/>
        <v>5</v>
      </c>
      <c r="F5" s="127">
        <f t="shared" si="0"/>
        <v>6</v>
      </c>
      <c r="G5" s="127">
        <f t="shared" si="0"/>
        <v>7</v>
      </c>
      <c r="H5" s="127">
        <f t="shared" si="0"/>
        <v>8</v>
      </c>
      <c r="I5" s="127">
        <f t="shared" si="0"/>
        <v>9</v>
      </c>
      <c r="J5" s="127">
        <f t="shared" si="0"/>
        <v>10</v>
      </c>
      <c r="K5" s="127">
        <f t="shared" si="0"/>
        <v>11</v>
      </c>
      <c r="L5" s="127">
        <f t="shared" si="0"/>
        <v>12</v>
      </c>
      <c r="M5" s="127">
        <f t="shared" si="0"/>
        <v>13</v>
      </c>
      <c r="N5" s="127">
        <f t="shared" si="0"/>
        <v>14</v>
      </c>
      <c r="O5" s="127">
        <f t="shared" si="0"/>
        <v>15</v>
      </c>
      <c r="P5" s="127">
        <f t="shared" si="0"/>
        <v>16</v>
      </c>
      <c r="Q5" s="127">
        <f t="shared" si="0"/>
        <v>17</v>
      </c>
      <c r="R5" s="127">
        <f t="shared" si="0"/>
        <v>18</v>
      </c>
      <c r="S5" s="127">
        <f t="shared" si="0"/>
        <v>19</v>
      </c>
      <c r="T5" s="127">
        <f t="shared" ref="T5:Y5" si="1">S5+1</f>
        <v>20</v>
      </c>
      <c r="U5" s="127">
        <f t="shared" si="1"/>
        <v>21</v>
      </c>
      <c r="V5" s="127">
        <f t="shared" si="1"/>
        <v>22</v>
      </c>
      <c r="W5" s="127">
        <f t="shared" si="1"/>
        <v>23</v>
      </c>
      <c r="X5" s="127">
        <f t="shared" si="1"/>
        <v>24</v>
      </c>
      <c r="Y5" s="374">
        <f t="shared" si="1"/>
        <v>25</v>
      </c>
    </row>
    <row r="6" spans="1:25">
      <c r="A6" s="100"/>
      <c r="B6" s="100"/>
      <c r="C6" s="100"/>
      <c r="D6" s="100"/>
      <c r="E6" s="100"/>
      <c r="F6" s="100"/>
      <c r="G6" s="100"/>
      <c r="H6" s="100"/>
      <c r="I6" s="124"/>
      <c r="J6" s="100"/>
      <c r="K6" s="123">
        <f>'Volume &amp; CPI forecast'!K10</f>
        <v>39994</v>
      </c>
      <c r="L6" s="123">
        <f>'Volume &amp; CPI forecast'!L10</f>
        <v>40359</v>
      </c>
      <c r="M6" s="123">
        <f>'Volume &amp; CPI forecast'!M10</f>
        <v>40724</v>
      </c>
      <c r="N6" s="123">
        <f>'Volume &amp; CPI forecast'!N10</f>
        <v>41090</v>
      </c>
      <c r="O6" s="123">
        <f>'Volume &amp; CPI forecast'!O10</f>
        <v>41455</v>
      </c>
      <c r="P6" s="123">
        <f>'Volume &amp; CPI forecast'!P10</f>
        <v>41820</v>
      </c>
      <c r="Q6" s="123">
        <f>'Volume &amp; CPI forecast'!Q10</f>
        <v>42185</v>
      </c>
      <c r="R6" s="123">
        <f>'Volume &amp; CPI forecast'!R10</f>
        <v>42551</v>
      </c>
      <c r="S6" s="123">
        <f>'Volume &amp; CPI forecast'!S10</f>
        <v>42916</v>
      </c>
      <c r="T6" s="123">
        <f>'Volume &amp; CPI forecast'!T10</f>
        <v>43281</v>
      </c>
      <c r="U6" s="123">
        <f>'Volume &amp; CPI forecast'!U10</f>
        <v>43646</v>
      </c>
      <c r="V6" s="123">
        <f>'Volume &amp; CPI forecast'!V10</f>
        <v>44012</v>
      </c>
      <c r="W6" s="123">
        <f>'Volume &amp; CPI forecast'!W10</f>
        <v>44377</v>
      </c>
      <c r="X6" s="123">
        <f>'Volume &amp; CPI forecast'!X10</f>
        <v>44742</v>
      </c>
      <c r="Y6" s="342">
        <f>'Volume &amp; CPI forecast'!Y10</f>
        <v>45107</v>
      </c>
    </row>
    <row r="7" spans="1:25" ht="21">
      <c r="A7" s="100"/>
      <c r="B7" s="100"/>
      <c r="C7" s="100"/>
      <c r="D7" s="100"/>
      <c r="E7" s="100"/>
      <c r="F7" s="100" t="str">
        <f>IF(SUM(F12:F71)&lt;&gt;0,1," ")</f>
        <v xml:space="preserve"> </v>
      </c>
      <c r="G7" s="283" t="s">
        <v>8</v>
      </c>
      <c r="H7" s="44"/>
      <c r="I7" s="100"/>
      <c r="J7" s="100"/>
      <c r="K7" s="123" t="str">
        <f>'Volume &amp; CPI forecast'!K11</f>
        <v>Actual   $</v>
      </c>
      <c r="L7" s="123" t="str">
        <f>'Volume &amp; CPI forecast'!L11</f>
        <v>Actual   $</v>
      </c>
      <c r="M7" s="123" t="str">
        <f>'Volume &amp; CPI forecast'!M11</f>
        <v>Actual   $</v>
      </c>
      <c r="N7" s="123" t="str">
        <f>'Volume &amp; CPI forecast'!N11</f>
        <v>Bus Plan   $</v>
      </c>
      <c r="O7" s="123" t="str">
        <f>'Volume &amp; CPI forecast'!O11</f>
        <v>Bus Plan   $</v>
      </c>
      <c r="P7" s="123" t="str">
        <f>'Volume &amp; CPI forecast'!P11</f>
        <v>Bus Plan   $</v>
      </c>
      <c r="Q7" s="123" t="str">
        <f>'Volume &amp; CPI forecast'!Q11</f>
        <v>Forecast   $</v>
      </c>
      <c r="R7" s="123" t="str">
        <f>'Volume &amp; CPI forecast'!R11</f>
        <v>Forecast   $</v>
      </c>
      <c r="S7" s="123" t="str">
        <f>'Volume &amp; CPI forecast'!S11</f>
        <v>Forecast   $</v>
      </c>
      <c r="T7" s="123" t="str">
        <f>'Volume &amp; CPI forecast'!T11</f>
        <v>Forecast   $</v>
      </c>
      <c r="U7" s="123" t="str">
        <f>'Volume &amp; CPI forecast'!U11</f>
        <v>Forecast   $</v>
      </c>
      <c r="V7" s="123" t="str">
        <f>'Volume &amp; CPI forecast'!V11</f>
        <v>Forecast   $</v>
      </c>
      <c r="W7" s="123" t="str">
        <f>'Volume &amp; CPI forecast'!W11</f>
        <v>Forecast   $</v>
      </c>
      <c r="X7" s="123" t="str">
        <f>'Volume &amp; CPI forecast'!X11</f>
        <v>Forecast   $</v>
      </c>
      <c r="Y7" s="342" t="str">
        <f>'Volume &amp; CPI forecast'!Y11</f>
        <v>Terminal value</v>
      </c>
    </row>
    <row r="8" spans="1:25">
      <c r="A8" s="100"/>
      <c r="B8" s="100"/>
      <c r="C8" s="100"/>
      <c r="D8" s="100"/>
      <c r="E8" s="100"/>
      <c r="F8" s="100"/>
      <c r="G8" s="149" t="s">
        <v>179</v>
      </c>
      <c r="H8" s="100"/>
      <c r="I8" s="273"/>
      <c r="J8" s="100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375"/>
    </row>
    <row r="9" spans="1:25">
      <c r="A9" s="100"/>
      <c r="B9" s="100"/>
      <c r="C9" s="100"/>
      <c r="D9" s="100"/>
      <c r="E9" s="100"/>
      <c r="F9" s="100"/>
      <c r="G9" s="100" t="s">
        <v>78</v>
      </c>
      <c r="H9" s="106"/>
      <c r="I9" s="159"/>
      <c r="J9" s="100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377">
        <f>'Asset base'!X886</f>
        <v>16108109.345291743</v>
      </c>
    </row>
    <row r="10" spans="1:25">
      <c r="A10" s="100"/>
      <c r="B10" s="100"/>
      <c r="C10" s="100"/>
      <c r="D10" s="100"/>
      <c r="E10" s="100"/>
      <c r="F10" s="100"/>
      <c r="G10" s="100" t="s">
        <v>180</v>
      </c>
      <c r="H10" s="106"/>
      <c r="I10" s="159"/>
      <c r="J10" s="100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377">
        <f>'Asset base'!X887</f>
        <v>326261681.92871648</v>
      </c>
    </row>
    <row r="11" spans="1:25">
      <c r="A11" s="100"/>
      <c r="B11" s="100"/>
      <c r="C11" s="100"/>
      <c r="D11" s="100"/>
      <c r="E11" s="100"/>
      <c r="F11" s="100"/>
      <c r="G11" s="100" t="s">
        <v>112</v>
      </c>
      <c r="H11" s="106"/>
      <c r="I11" s="159"/>
      <c r="J11" s="100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377">
        <f>'Asset base'!X888</f>
        <v>8356977.5962910242</v>
      </c>
    </row>
    <row r="12" spans="1:25">
      <c r="A12" s="100"/>
      <c r="B12" s="100"/>
      <c r="C12" s="100"/>
      <c r="D12" s="100"/>
      <c r="E12" s="100"/>
      <c r="F12" s="100"/>
      <c r="G12" s="44"/>
      <c r="H12" s="44"/>
      <c r="I12" s="100"/>
      <c r="J12" s="100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357"/>
    </row>
    <row r="13" spans="1:25" ht="15.75">
      <c r="A13" s="130"/>
      <c r="B13" s="130"/>
      <c r="C13" s="130"/>
      <c r="D13" s="130"/>
      <c r="E13" s="130"/>
      <c r="F13" s="130"/>
      <c r="G13" s="162" t="s">
        <v>124</v>
      </c>
      <c r="H13" s="161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359"/>
    </row>
    <row r="14" spans="1:25" ht="15.75">
      <c r="A14" s="100"/>
      <c r="B14" s="100"/>
      <c r="C14" s="100"/>
      <c r="D14" s="100"/>
      <c r="E14" s="100"/>
      <c r="F14" s="100"/>
      <c r="G14" s="89"/>
      <c r="H14" s="12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352"/>
    </row>
    <row r="15" spans="1:25">
      <c r="A15" s="100"/>
      <c r="B15" s="100"/>
      <c r="C15" s="100"/>
      <c r="D15" s="100"/>
      <c r="E15" s="100"/>
      <c r="F15" s="100"/>
      <c r="G15" s="149" t="s">
        <v>123</v>
      </c>
      <c r="H15" s="100"/>
      <c r="I15" s="100"/>
      <c r="J15" s="100"/>
      <c r="K15" s="285"/>
      <c r="L15" s="285"/>
      <c r="M15" s="285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363"/>
    </row>
    <row r="16" spans="1:25">
      <c r="A16" s="100"/>
      <c r="B16" s="100"/>
      <c r="C16" s="100"/>
      <c r="D16" s="100"/>
      <c r="E16" s="100"/>
      <c r="F16" s="100"/>
      <c r="G16" s="100" t="s">
        <v>74</v>
      </c>
      <c r="H16" s="106"/>
      <c r="I16" s="159"/>
      <c r="J16" s="100"/>
      <c r="K16" s="268"/>
      <c r="L16" s="268"/>
      <c r="M16" s="268"/>
      <c r="N16" s="268">
        <f>Opex!N156</f>
        <v>1900183.664924952</v>
      </c>
      <c r="O16" s="268">
        <f>Opex!O156</f>
        <v>2065288.2848964995</v>
      </c>
      <c r="P16" s="268">
        <f>Opex!P156</f>
        <v>2196330.6679571304</v>
      </c>
      <c r="Q16" s="268">
        <f>Opex!Q156</f>
        <v>2254098.7465538038</v>
      </c>
      <c r="R16" s="268">
        <f>Opex!R156</f>
        <v>2301434.8202314335</v>
      </c>
      <c r="S16" s="268">
        <f>Opex!S156</f>
        <v>2349764.9514562935</v>
      </c>
      <c r="T16" s="268">
        <f>Opex!T156</f>
        <v>2408509.0752427005</v>
      </c>
      <c r="U16" s="268">
        <f>Opex!U156</f>
        <v>2468721.8021237678</v>
      </c>
      <c r="V16" s="268">
        <f>Opex!V156</f>
        <v>2530439.8471768619</v>
      </c>
      <c r="W16" s="268">
        <f>Opex!W156</f>
        <v>2593700.8433562834</v>
      </c>
      <c r="X16" s="268">
        <f>Opex!X156</f>
        <v>2658543.3644401897</v>
      </c>
      <c r="Y16" s="377">
        <f>Opex!Y156</f>
        <v>15799170.706453912</v>
      </c>
    </row>
    <row r="17" spans="1:25">
      <c r="A17" s="100"/>
      <c r="B17" s="100"/>
      <c r="C17" s="100"/>
      <c r="D17" s="100"/>
      <c r="E17" s="100"/>
      <c r="F17" s="100"/>
      <c r="G17" s="100" t="s">
        <v>122</v>
      </c>
      <c r="H17" s="106"/>
      <c r="I17" s="159"/>
      <c r="J17" s="100"/>
      <c r="K17" s="268"/>
      <c r="L17" s="268"/>
      <c r="M17" s="268"/>
      <c r="N17" s="268">
        <f>Opex!N157</f>
        <v>26569.496548207437</v>
      </c>
      <c r="O17" s="268">
        <f>Opex!O157</f>
        <v>20172.291622151053</v>
      </c>
      <c r="P17" s="268">
        <f>Opex!P157</f>
        <v>30436.397638320599</v>
      </c>
      <c r="Q17" s="268">
        <f>Opex!Q157</f>
        <v>36731.269359635757</v>
      </c>
      <c r="R17" s="268">
        <f>Opex!R157</f>
        <v>37730.825598686235</v>
      </c>
      <c r="S17" s="268">
        <f>Opex!S157</f>
        <v>38594.893355700588</v>
      </c>
      <c r="T17" s="268">
        <f>Opex!T157</f>
        <v>42810.162966397569</v>
      </c>
      <c r="U17" s="268">
        <f>Opex!U157</f>
        <v>43468.179416052451</v>
      </c>
      <c r="V17" s="268">
        <f>Opex!V157</f>
        <v>44334.398415491502</v>
      </c>
      <c r="W17" s="268">
        <f>Opex!W157</f>
        <v>44995.297685409896</v>
      </c>
      <c r="X17" s="268">
        <f>Opex!X157</f>
        <v>45801.720690994669</v>
      </c>
      <c r="Y17" s="377">
        <f>Opex!Y157</f>
        <v>278165.22498682165</v>
      </c>
    </row>
    <row r="18" spans="1:25">
      <c r="A18" s="100"/>
      <c r="B18" s="100"/>
      <c r="C18" s="100"/>
      <c r="D18" s="100"/>
      <c r="E18" s="100"/>
      <c r="F18" s="100"/>
      <c r="G18" s="100" t="s">
        <v>121</v>
      </c>
      <c r="H18" s="106"/>
      <c r="I18" s="159"/>
      <c r="J18" s="100"/>
      <c r="K18" s="268"/>
      <c r="L18" s="268"/>
      <c r="M18" s="268"/>
      <c r="N18" s="268">
        <f>Opex!N158</f>
        <v>37649.762053670223</v>
      </c>
      <c r="O18" s="268">
        <f>Opex!O158</f>
        <v>57974.425064011564</v>
      </c>
      <c r="P18" s="268">
        <f>Opex!P158</f>
        <v>47689.267772362669</v>
      </c>
      <c r="Q18" s="268">
        <f>Opex!Q158</f>
        <v>47375.558188762494</v>
      </c>
      <c r="R18" s="268">
        <f>Opex!R158</f>
        <v>47848.700701831098</v>
      </c>
      <c r="S18" s="268">
        <f>Opex!S158</f>
        <v>48316.126881407305</v>
      </c>
      <c r="T18" s="268">
        <f>Opex!T158</f>
        <v>49216.519813877407</v>
      </c>
      <c r="U18" s="268">
        <f>Opex!U158</f>
        <v>50130.197262472277</v>
      </c>
      <c r="V18" s="268">
        <f>Opex!V158</f>
        <v>51057.21458087951</v>
      </c>
      <c r="W18" s="268">
        <f>Opex!W158</f>
        <v>51997.620203852275</v>
      </c>
      <c r="X18" s="268">
        <f>Opex!X158</f>
        <v>52951.455225152895</v>
      </c>
      <c r="Y18" s="377">
        <f>Opex!Y158</f>
        <v>312612.62754105416</v>
      </c>
    </row>
    <row r="19" spans="1:25">
      <c r="A19" s="100"/>
      <c r="B19" s="100"/>
      <c r="C19" s="100"/>
      <c r="D19" s="100"/>
      <c r="E19" s="100"/>
      <c r="F19" s="100"/>
      <c r="G19" s="100" t="s">
        <v>120</v>
      </c>
      <c r="H19" s="106"/>
      <c r="I19" s="159"/>
      <c r="J19" s="100"/>
      <c r="K19" s="268"/>
      <c r="L19" s="268"/>
      <c r="M19" s="268"/>
      <c r="N19" s="268">
        <f>Opex!N159</f>
        <v>806523.45403194195</v>
      </c>
      <c r="O19" s="268">
        <f>Opex!O159</f>
        <v>930206.08465195866</v>
      </c>
      <c r="P19" s="268">
        <f>Opex!P159</f>
        <v>1015393.8035396787</v>
      </c>
      <c r="Q19" s="268">
        <f>Opex!Q159</f>
        <v>1050076.178964606</v>
      </c>
      <c r="R19" s="268">
        <f>Opex!R159</f>
        <v>1072127.7787228629</v>
      </c>
      <c r="S19" s="268">
        <f>Opex!S159</f>
        <v>1094642.4620760425</v>
      </c>
      <c r="T19" s="268">
        <f>Opex!T159</f>
        <v>1122008.5236279436</v>
      </c>
      <c r="U19" s="268">
        <f>Opex!U159</f>
        <v>1150058.7367186423</v>
      </c>
      <c r="V19" s="268">
        <f>Opex!V159</f>
        <v>1178810.2051366081</v>
      </c>
      <c r="W19" s="268">
        <f>Opex!W159</f>
        <v>1208280.4602650229</v>
      </c>
      <c r="X19" s="268">
        <f>Opex!X159</f>
        <v>1238487.4717716486</v>
      </c>
      <c r="Y19" s="377">
        <f>Opex!Y159</f>
        <v>7360073.6576456204</v>
      </c>
    </row>
    <row r="20" spans="1:25">
      <c r="A20" s="100"/>
      <c r="B20" s="100"/>
      <c r="C20" s="100"/>
      <c r="D20" s="100"/>
      <c r="E20" s="100"/>
      <c r="F20" s="100"/>
      <c r="G20" s="100" t="s">
        <v>119</v>
      </c>
      <c r="H20" s="106"/>
      <c r="I20" s="159"/>
      <c r="J20" s="100"/>
      <c r="K20" s="268"/>
      <c r="L20" s="268"/>
      <c r="M20" s="268"/>
      <c r="N20" s="268">
        <f>Opex!N160</f>
        <v>131829.82125758132</v>
      </c>
      <c r="O20" s="268">
        <f>Opex!O160</f>
        <v>129320.99110783859</v>
      </c>
      <c r="P20" s="268">
        <f>Opex!P160</f>
        <v>226873.2922723378</v>
      </c>
      <c r="Q20" s="268">
        <f>Opex!Q160</f>
        <v>219445.22679067028</v>
      </c>
      <c r="R20" s="268">
        <f>Opex!R160</f>
        <v>224053.57655327432</v>
      </c>
      <c r="S20" s="268">
        <f>Opex!S160</f>
        <v>228758.70166089307</v>
      </c>
      <c r="T20" s="268">
        <f>Opex!T160</f>
        <v>303115.32375990582</v>
      </c>
      <c r="U20" s="268">
        <f>Opex!U160</f>
        <v>310693.20685390336</v>
      </c>
      <c r="V20" s="268">
        <f>Opex!V160</f>
        <v>318460.53702525096</v>
      </c>
      <c r="W20" s="268">
        <f>Opex!W160</f>
        <v>326422.05045088229</v>
      </c>
      <c r="X20" s="268">
        <f>Opex!X160</f>
        <v>334582.60171215417</v>
      </c>
      <c r="Y20" s="377">
        <f>Opex!Y160</f>
        <v>1988354.8677690676</v>
      </c>
    </row>
    <row r="21" spans="1:25">
      <c r="A21" s="100"/>
      <c r="B21" s="100"/>
      <c r="C21" s="100"/>
      <c r="D21" s="100"/>
      <c r="E21" s="100"/>
      <c r="F21" s="100"/>
      <c r="G21" s="100" t="s">
        <v>118</v>
      </c>
      <c r="H21" s="106"/>
      <c r="I21" s="159"/>
      <c r="J21" s="100"/>
      <c r="K21" s="268"/>
      <c r="L21" s="268"/>
      <c r="M21" s="268"/>
      <c r="N21" s="268">
        <f>Opex!N161</f>
        <v>407483.68878426391</v>
      </c>
      <c r="O21" s="268">
        <f>Opex!O161</f>
        <v>455431.43923691311</v>
      </c>
      <c r="P21" s="268">
        <f>Opex!P161</f>
        <v>513322.28655349818</v>
      </c>
      <c r="Q21" s="268">
        <f>Opex!Q161</f>
        <v>528797.26813940587</v>
      </c>
      <c r="R21" s="268">
        <f>Opex!R161</f>
        <v>539902.01077033323</v>
      </c>
      <c r="S21" s="268">
        <f>Opex!S161</f>
        <v>551239.9529965102</v>
      </c>
      <c r="T21" s="268">
        <f>Opex!T161</f>
        <v>565020.9518214229</v>
      </c>
      <c r="U21" s="268">
        <f>Opex!U161</f>
        <v>579146.47561695846</v>
      </c>
      <c r="V21" s="268">
        <f>Opex!V161</f>
        <v>593625.13750738231</v>
      </c>
      <c r="W21" s="268">
        <f>Opex!W161</f>
        <v>608465.76594506681</v>
      </c>
      <c r="X21" s="268">
        <f>Opex!X161</f>
        <v>623677.41009369341</v>
      </c>
      <c r="Y21" s="377">
        <f>Opex!Y161</f>
        <v>3706385.2332174387</v>
      </c>
    </row>
    <row r="22" spans="1:25">
      <c r="A22" s="100"/>
      <c r="B22" s="100"/>
      <c r="C22" s="100"/>
      <c r="D22" s="100"/>
      <c r="E22" s="100"/>
      <c r="F22" s="100"/>
      <c r="G22" s="100" t="s">
        <v>117</v>
      </c>
      <c r="H22" s="106"/>
      <c r="I22" s="159"/>
      <c r="J22" s="100"/>
      <c r="K22" s="268"/>
      <c r="L22" s="268"/>
      <c r="M22" s="268"/>
      <c r="N22" s="268">
        <f>Opex!N162</f>
        <v>533981.22158078966</v>
      </c>
      <c r="O22" s="268">
        <f>Opex!O162</f>
        <v>674165.60693271342</v>
      </c>
      <c r="P22" s="268">
        <f>Opex!P162</f>
        <v>728011.39879281831</v>
      </c>
      <c r="Q22" s="268">
        <f>Opex!Q162</f>
        <v>749851.74075660296</v>
      </c>
      <c r="R22" s="268">
        <f>Opex!R162</f>
        <v>765598.62731249165</v>
      </c>
      <c r="S22" s="268">
        <f>Opex!S162</f>
        <v>781676.19848605408</v>
      </c>
      <c r="T22" s="268">
        <f>Opex!T162</f>
        <v>801218.10344820516</v>
      </c>
      <c r="U22" s="268">
        <f>Opex!U162</f>
        <v>821248.55603441014</v>
      </c>
      <c r="V22" s="268">
        <f>Opex!V162</f>
        <v>841779.76993527042</v>
      </c>
      <c r="W22" s="268">
        <f>Opex!W162</f>
        <v>862824.26418365212</v>
      </c>
      <c r="X22" s="268">
        <f>Opex!X162</f>
        <v>884394.87078824337</v>
      </c>
      <c r="Y22" s="377">
        <f>Opex!Y162</f>
        <v>5255774.9188484456</v>
      </c>
    </row>
    <row r="23" spans="1:25">
      <c r="A23" s="100"/>
      <c r="B23" s="100"/>
      <c r="C23" s="100"/>
      <c r="D23" s="100"/>
      <c r="E23" s="100"/>
      <c r="F23" s="100"/>
      <c r="G23" s="100" t="s">
        <v>116</v>
      </c>
      <c r="H23" s="106"/>
      <c r="I23" s="159"/>
      <c r="J23" s="100"/>
      <c r="K23" s="268"/>
      <c r="L23" s="268"/>
      <c r="M23" s="268"/>
      <c r="N23" s="268">
        <f>Opex!N163</f>
        <v>104798.55497830072</v>
      </c>
      <c r="O23" s="268">
        <f>Opex!O163</f>
        <v>116976.37735782856</v>
      </c>
      <c r="P23" s="268">
        <f>Opex!P163</f>
        <v>123578.69614967261</v>
      </c>
      <c r="Q23" s="268">
        <f>Opex!Q163</f>
        <v>103863.15289030818</v>
      </c>
      <c r="R23" s="268">
        <f>Opex!R163</f>
        <v>106304.02677384441</v>
      </c>
      <c r="S23" s="268">
        <f>Opex!S163</f>
        <v>108796.16334128448</v>
      </c>
      <c r="T23" s="268">
        <f>Opex!T163</f>
        <v>111776.84141695908</v>
      </c>
      <c r="U23" s="268">
        <f>Opex!U163</f>
        <v>114833.06245238469</v>
      </c>
      <c r="V23" s="268">
        <f>Opex!V163</f>
        <v>117966.71905828084</v>
      </c>
      <c r="W23" s="268">
        <f>Opex!W163</f>
        <v>121179.75117651667</v>
      </c>
      <c r="X23" s="268">
        <f>Opex!X163</f>
        <v>124474.1472634524</v>
      </c>
      <c r="Y23" s="377">
        <f>Opex!Y163</f>
        <v>741265.89410201239</v>
      </c>
    </row>
    <row r="24" spans="1:25">
      <c r="A24" s="100"/>
      <c r="B24" s="100"/>
      <c r="C24" s="100"/>
      <c r="D24" s="100"/>
      <c r="E24" s="100"/>
      <c r="F24" s="100"/>
      <c r="G24" s="100" t="s">
        <v>115</v>
      </c>
      <c r="H24" s="106"/>
      <c r="I24" s="159"/>
      <c r="J24" s="100"/>
      <c r="K24" s="268"/>
      <c r="L24" s="268"/>
      <c r="M24" s="268"/>
      <c r="N24" s="268">
        <f>Opex!N164</f>
        <v>854131.09555914556</v>
      </c>
      <c r="O24" s="268">
        <f>Opex!O164</f>
        <v>770933.95029102522</v>
      </c>
      <c r="P24" s="268">
        <f>Opex!P164</f>
        <v>725223.49697413319</v>
      </c>
      <c r="Q24" s="268">
        <f>Opex!Q164</f>
        <v>730054.03752714139</v>
      </c>
      <c r="R24" s="268">
        <f>Opex!R164</f>
        <v>745385.17231521138</v>
      </c>
      <c r="S24" s="268">
        <f>Opex!S164</f>
        <v>761038.26093383064</v>
      </c>
      <c r="T24" s="268">
        <f>Opex!T164</f>
        <v>780064.2174571763</v>
      </c>
      <c r="U24" s="268">
        <f>Opex!U164</f>
        <v>799565.82289360557</v>
      </c>
      <c r="V24" s="268">
        <f>Opex!V164</f>
        <v>819554.96846594568</v>
      </c>
      <c r="W24" s="268">
        <f>Opex!W164</f>
        <v>840043.84267759405</v>
      </c>
      <c r="X24" s="268">
        <f>Opex!X164</f>
        <v>861044.93874453392</v>
      </c>
      <c r="Y24" s="377">
        <f>Opex!Y164</f>
        <v>5117011.1253827903</v>
      </c>
    </row>
    <row r="25" spans="1: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363"/>
    </row>
    <row r="26" spans="1:25">
      <c r="A26" s="100"/>
      <c r="B26" s="100"/>
      <c r="C26" s="100"/>
      <c r="D26" s="100"/>
      <c r="E26" s="100"/>
      <c r="F26" s="100"/>
      <c r="G26" s="155" t="s">
        <v>114</v>
      </c>
      <c r="H26" s="157"/>
      <c r="I26" s="156"/>
      <c r="J26" s="155"/>
      <c r="K26" s="154">
        <f t="shared" ref="K26:N26" si="2">SUM(K16:K25)</f>
        <v>0</v>
      </c>
      <c r="L26" s="154">
        <f t="shared" si="2"/>
        <v>0</v>
      </c>
      <c r="M26" s="154">
        <f t="shared" si="2"/>
        <v>0</v>
      </c>
      <c r="N26" s="154">
        <f t="shared" si="2"/>
        <v>4803150.759718853</v>
      </c>
      <c r="O26" s="663">
        <f>SUM(O16:O25)-10000*'Volume &amp; CPI forecast'!O$14</f>
        <v>5210259.4511609403</v>
      </c>
      <c r="P26" s="663">
        <f>SUM(P16:P25)-10000*'Volume &amp; CPI forecast'!P$14</f>
        <v>5596434.8976499513</v>
      </c>
      <c r="Q26" s="663">
        <f>SUM(Q16:Q25)-10000*'Volume &amp; CPI forecast'!Q$14</f>
        <v>5709649.8565609362</v>
      </c>
      <c r="R26" s="663">
        <f>SUM(R16:R25)-10000*'Volume &amp; CPI forecast'!R$14</f>
        <v>5829518.7065951591</v>
      </c>
      <c r="S26" s="663">
        <f>SUM(S16:S25)-10000*'Volume &amp; CPI forecast'!S$14</f>
        <v>5951732.6753231259</v>
      </c>
      <c r="T26" s="663">
        <f>SUM(T16:T25)-10000*'Volume &amp; CPI forecast'!T$14</f>
        <v>6172367.3077930762</v>
      </c>
      <c r="U26" s="663">
        <f>SUM(U16:U25)-10000*'Volume &amp; CPI forecast'!U$14</f>
        <v>6326209.3173166467</v>
      </c>
      <c r="V26" s="663">
        <f>SUM(V16:V25)-10000*'Volume &amp; CPI forecast'!V$14</f>
        <v>6484080.6571950316</v>
      </c>
      <c r="W26" s="663">
        <f>SUM(W16:W25)-10000*'Volume &amp; CPI forecast'!W$14</f>
        <v>6645663.0523346672</v>
      </c>
      <c r="X26" s="663">
        <f>SUM(X16:X25)-10000*'Volume &amp; CPI forecast'!X$14</f>
        <v>6811404.9660302084</v>
      </c>
      <c r="Y26" s="664">
        <f>SUM(Y16:Y25)-PV((WACC!$N$32-2.5%), 10, -12600)</f>
        <v>40484778.481727645</v>
      </c>
    </row>
    <row r="27" spans="1:25">
      <c r="A27" s="100"/>
      <c r="B27" s="100"/>
      <c r="C27" s="100"/>
      <c r="D27" s="100"/>
      <c r="E27" s="100"/>
      <c r="F27" s="100"/>
      <c r="G27" s="153"/>
      <c r="H27" s="100"/>
      <c r="I27" s="106"/>
      <c r="J27" s="100"/>
      <c r="K27" s="152"/>
      <c r="L27" s="15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352"/>
    </row>
    <row r="28" spans="1:25">
      <c r="A28" s="100"/>
      <c r="B28" s="100"/>
      <c r="C28" s="100"/>
      <c r="D28" s="100"/>
      <c r="E28" s="100"/>
      <c r="F28" s="100"/>
      <c r="G28" s="149" t="s">
        <v>113</v>
      </c>
      <c r="H28" s="100"/>
      <c r="I28" s="106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352"/>
    </row>
    <row r="29" spans="1:25">
      <c r="A29" s="100"/>
      <c r="B29" s="100"/>
      <c r="C29" s="100"/>
      <c r="D29" s="100"/>
      <c r="E29" s="100"/>
      <c r="F29" s="100"/>
      <c r="G29" s="100"/>
      <c r="H29" s="100"/>
      <c r="I29" s="106"/>
      <c r="J29" s="100"/>
      <c r="K29" s="152"/>
      <c r="L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377"/>
    </row>
    <row r="30" spans="1:25">
      <c r="A30" s="100"/>
      <c r="B30" s="100"/>
      <c r="C30" s="100"/>
      <c r="D30" s="100"/>
      <c r="E30" s="100"/>
      <c r="F30" s="100"/>
      <c r="G30" s="100" t="s">
        <v>112</v>
      </c>
      <c r="H30" s="100"/>
      <c r="I30" s="106"/>
      <c r="J30" s="100"/>
      <c r="K30" s="100"/>
      <c r="L30" s="269"/>
      <c r="M30" s="268">
        <f>'Asset base'!M693+'Asset base'!M702+'Asset base'!M711+'Asset base'!M720+'Asset base'!M729+'Asset base'!M738+'Asset base'!M747+'Asset base'!M756+'Asset base'!M765+'Asset base'!M774</f>
        <v>0</v>
      </c>
      <c r="N30" s="268">
        <f>'Asset base'!N693+'Asset base'!N702+'Asset base'!N711+'Asset base'!N720+'Asset base'!N729+'Asset base'!N738+'Asset base'!N747+'Asset base'!N756+'Asset base'!N765+'Asset base'!N774</f>
        <v>0</v>
      </c>
      <c r="O30" s="268">
        <f>'Asset base'!O693+'Asset base'!O702+'Asset base'!O711+'Asset base'!O720+'Asset base'!O729+'Asset base'!O738+'Asset base'!O747+'Asset base'!O756+'Asset base'!O765+'Asset base'!O774</f>
        <v>1709965.483107575</v>
      </c>
      <c r="P30" s="268">
        <f>'Asset base'!P693+'Asset base'!P702+'Asset base'!P711+'Asset base'!P720+'Asset base'!P729+'Asset base'!P738+'Asset base'!P747+'Asset base'!P756+'Asset base'!P765+'Asset base'!P774</f>
        <v>1686459.4893193438</v>
      </c>
      <c r="Q30" s="268">
        <f>'Asset base'!Q693+'Asset base'!Q702+'Asset base'!Q711+'Asset base'!Q720+'Asset base'!Q729+'Asset base'!Q738+'Asset base'!Q747+'Asset base'!Q756+'Asset base'!Q765+'Asset base'!Q774</f>
        <v>1658165.2189353479</v>
      </c>
      <c r="R30" s="268">
        <f>'Asset base'!R693+'Asset base'!R702+'Asset base'!R711+'Asset base'!R720+'Asset base'!R729+'Asset base'!R738+'Asset base'!R747+'Asset base'!R756+'Asset base'!R765+'Asset base'!R774</f>
        <v>1628785.6849042503</v>
      </c>
      <c r="S30" s="268">
        <f>'Asset base'!S693+'Asset base'!S702+'Asset base'!S711+'Asset base'!S720+'Asset base'!S729+'Asset base'!S738+'Asset base'!S747+'Asset base'!S756+'Asset base'!S765+'Asset base'!S774</f>
        <v>1600948.5811248464</v>
      </c>
      <c r="T30" s="268">
        <f>'Asset base'!T693+'Asset base'!T702+'Asset base'!T711+'Asset base'!T720+'Asset base'!T729+'Asset base'!T738+'Asset base'!T747+'Asset base'!T756+'Asset base'!T765+'Asset base'!T774</f>
        <v>1870668.0278284892</v>
      </c>
      <c r="U30" s="268">
        <f>'Asset base'!U693+'Asset base'!U702+'Asset base'!U711+'Asset base'!U720+'Asset base'!U729+'Asset base'!U738+'Asset base'!U747+'Asset base'!U756+'Asset base'!U765+'Asset base'!U774</f>
        <v>1838898.0168933473</v>
      </c>
      <c r="V30" s="268">
        <f>'Asset base'!V693+'Asset base'!V702+'Asset base'!V711+'Asset base'!V720+'Asset base'!V729+'Asset base'!V738+'Asset base'!V747+'Asset base'!V756+'Asset base'!V765+'Asset base'!V774</f>
        <v>1806342.3446012912</v>
      </c>
      <c r="W30" s="268">
        <f>'Asset base'!W693+'Asset base'!W702+'Asset base'!W711+'Asset base'!W720+'Asset base'!W729+'Asset base'!W738+'Asset base'!W747+'Asset base'!W756+'Asset base'!W765+'Asset base'!W774</f>
        <v>1772973.5867843239</v>
      </c>
      <c r="X30" s="268">
        <f>'Asset base'!X693+'Asset base'!X702+'Asset base'!X711+'Asset base'!X720+'Asset base'!X729+'Asset base'!X738+'Asset base'!X747+'Asset base'!X756+'Asset base'!X765+'Asset base'!X774</f>
        <v>1738771.5186821704</v>
      </c>
      <c r="Y30" s="387">
        <f>Y11</f>
        <v>8356977.5962910242</v>
      </c>
    </row>
    <row r="31" spans="1:25">
      <c r="A31" s="100"/>
      <c r="B31" s="100"/>
      <c r="C31" s="100"/>
      <c r="D31" s="100"/>
      <c r="E31" s="100"/>
      <c r="F31" s="100"/>
      <c r="G31" s="149"/>
      <c r="H31" s="102"/>
      <c r="I31" s="106"/>
      <c r="J31" s="100"/>
      <c r="K31" s="100"/>
      <c r="L31" s="100"/>
      <c r="M31" s="100"/>
      <c r="N31" s="100"/>
      <c r="O31" s="100"/>
      <c r="P31" s="150"/>
      <c r="Q31" s="100"/>
      <c r="R31" s="100"/>
      <c r="S31" s="100"/>
      <c r="T31" s="100"/>
      <c r="U31" s="100"/>
      <c r="V31" s="100"/>
      <c r="W31" s="100"/>
      <c r="X31" s="100"/>
      <c r="Y31" s="352"/>
    </row>
    <row r="32" spans="1:25">
      <c r="A32" s="100"/>
      <c r="B32" s="100"/>
      <c r="C32" s="100"/>
      <c r="D32" s="100"/>
      <c r="E32" s="100"/>
      <c r="F32" s="100"/>
      <c r="G32" s="149" t="s">
        <v>78</v>
      </c>
      <c r="H32" s="100"/>
      <c r="I32" s="100"/>
      <c r="J32" s="100"/>
      <c r="K32" s="152"/>
      <c r="L32" s="152"/>
      <c r="M32" s="152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377"/>
    </row>
    <row r="33" spans="1:25">
      <c r="A33" s="100"/>
      <c r="B33" s="100"/>
      <c r="C33" s="100"/>
      <c r="D33" s="100"/>
      <c r="E33" s="100"/>
      <c r="F33" s="100"/>
      <c r="G33" s="100" t="s">
        <v>38</v>
      </c>
      <c r="H33" s="100"/>
      <c r="I33" s="100"/>
      <c r="J33" s="100"/>
      <c r="K33" s="152"/>
      <c r="L33" s="152"/>
      <c r="M33" s="152"/>
      <c r="N33" s="268">
        <f>'Asset base'!N692+'Asset base'!N694</f>
        <v>0</v>
      </c>
      <c r="O33" s="268">
        <f>'Asset base'!O692+'Asset base'!O694</f>
        <v>0</v>
      </c>
      <c r="P33" s="268">
        <f>'Asset base'!P692+'Asset base'!P694</f>
        <v>0</v>
      </c>
      <c r="Q33" s="268">
        <f>'Asset base'!Q692+'Asset base'!Q694</f>
        <v>0</v>
      </c>
      <c r="R33" s="268">
        <f>'Asset base'!R692+'Asset base'!R694</f>
        <v>0</v>
      </c>
      <c r="S33" s="268">
        <f>'Asset base'!S692+'Asset base'!S694</f>
        <v>0</v>
      </c>
      <c r="T33" s="268">
        <f>'Asset base'!T692+'Asset base'!T694</f>
        <v>0</v>
      </c>
      <c r="U33" s="268">
        <f>'Asset base'!U692+'Asset base'!U694</f>
        <v>0</v>
      </c>
      <c r="V33" s="268">
        <f>'Asset base'!V692+'Asset base'!V694</f>
        <v>0</v>
      </c>
      <c r="W33" s="268">
        <f>'Asset base'!W692+'Asset base'!W694</f>
        <v>0</v>
      </c>
      <c r="X33" s="268">
        <f>'Asset base'!X692+'Asset base'!X694</f>
        <v>0</v>
      </c>
      <c r="Y33" s="377"/>
    </row>
    <row r="34" spans="1:25">
      <c r="A34" s="100"/>
      <c r="B34" s="100"/>
      <c r="C34" s="100"/>
      <c r="D34" s="100"/>
      <c r="E34" s="100"/>
      <c r="F34" s="100"/>
      <c r="G34" s="100" t="s">
        <v>37</v>
      </c>
      <c r="H34" s="100"/>
      <c r="I34" s="100"/>
      <c r="J34" s="100"/>
      <c r="K34" s="152"/>
      <c r="L34" s="152"/>
      <c r="M34" s="152"/>
      <c r="N34" s="268">
        <f>'Asset base'!N701+'Asset base'!N703</f>
        <v>0</v>
      </c>
      <c r="O34" s="268">
        <f>'Asset base'!O701+'Asset base'!O703</f>
        <v>0</v>
      </c>
      <c r="P34" s="268">
        <f>'Asset base'!P701+'Asset base'!P703</f>
        <v>0</v>
      </c>
      <c r="Q34" s="268">
        <f>'Asset base'!Q701+'Asset base'!Q703</f>
        <v>0</v>
      </c>
      <c r="R34" s="268">
        <f>'Asset base'!R701+'Asset base'!R703</f>
        <v>0</v>
      </c>
      <c r="S34" s="268">
        <f>'Asset base'!S701+'Asset base'!S703</f>
        <v>0</v>
      </c>
      <c r="T34" s="268">
        <f>'Asset base'!T701+'Asset base'!T703</f>
        <v>0</v>
      </c>
      <c r="U34" s="268">
        <f>'Asset base'!U701+'Asset base'!U703</f>
        <v>0</v>
      </c>
      <c r="V34" s="268">
        <f>'Asset base'!V701+'Asset base'!V703</f>
        <v>0</v>
      </c>
      <c r="W34" s="268">
        <f>'Asset base'!W701+'Asset base'!W703</f>
        <v>0</v>
      </c>
      <c r="X34" s="268">
        <f>'Asset base'!X701+'Asset base'!X703</f>
        <v>0</v>
      </c>
      <c r="Y34" s="377"/>
    </row>
    <row r="35" spans="1:25">
      <c r="A35" s="100"/>
      <c r="B35" s="100"/>
      <c r="C35" s="100"/>
      <c r="D35" s="100"/>
      <c r="E35" s="100"/>
      <c r="F35" s="100"/>
      <c r="G35" s="100" t="s">
        <v>36</v>
      </c>
      <c r="H35" s="100"/>
      <c r="I35" s="100"/>
      <c r="J35" s="100"/>
      <c r="K35" s="152"/>
      <c r="L35" s="152"/>
      <c r="M35" s="152"/>
      <c r="N35" s="268">
        <f>'Asset base'!N710+'Asset base'!N712</f>
        <v>0</v>
      </c>
      <c r="O35" s="268">
        <f>'Asset base'!O710+'Asset base'!O712</f>
        <v>133690.02222988824</v>
      </c>
      <c r="P35" s="268">
        <f>'Asset base'!P710+'Asset base'!P712</f>
        <v>156831.14656883787</v>
      </c>
      <c r="Q35" s="268">
        <f>'Asset base'!Q710+'Asset base'!Q712</f>
        <v>186799.29610304692</v>
      </c>
      <c r="R35" s="268">
        <f>'Asset base'!R710+'Asset base'!R712</f>
        <v>201624.34263107879</v>
      </c>
      <c r="S35" s="268">
        <f>'Asset base'!S710+'Asset base'!S712</f>
        <v>215266.21719836968</v>
      </c>
      <c r="T35" s="268">
        <f>'Asset base'!T710+'Asset base'!T712</f>
        <v>78957.12789580859</v>
      </c>
      <c r="U35" s="268">
        <f>'Asset base'!U710+'Asset base'!U712</f>
        <v>52271.169811696142</v>
      </c>
      <c r="V35" s="268">
        <f>'Asset base'!V710+'Asset base'!V712</f>
        <v>31395.318114002745</v>
      </c>
      <c r="W35" s="268">
        <f>'Asset base'!W710+'Asset base'!W712</f>
        <v>18288.123315447501</v>
      </c>
      <c r="X35" s="268">
        <f>'Asset base'!X710+'Asset base'!X712</f>
        <v>10872.085487933791</v>
      </c>
      <c r="Y35" s="377"/>
    </row>
    <row r="36" spans="1:25">
      <c r="A36" s="100"/>
      <c r="B36" s="100"/>
      <c r="C36" s="100"/>
      <c r="D36" s="100"/>
      <c r="E36" s="100"/>
      <c r="F36" s="100"/>
      <c r="G36" s="100" t="s">
        <v>35</v>
      </c>
      <c r="H36" s="100"/>
      <c r="I36" s="100"/>
      <c r="J36" s="100"/>
      <c r="K36" s="152"/>
      <c r="L36" s="152"/>
      <c r="M36" s="152"/>
      <c r="N36" s="268">
        <f>'Asset base'!N719+'Asset base'!N721</f>
        <v>0</v>
      </c>
      <c r="O36" s="268">
        <f>'Asset base'!O719+'Asset base'!O721</f>
        <v>0</v>
      </c>
      <c r="P36" s="268">
        <f>'Asset base'!P719+'Asset base'!P721</f>
        <v>0</v>
      </c>
      <c r="Q36" s="268">
        <f>'Asset base'!Q719+'Asset base'!Q721</f>
        <v>0</v>
      </c>
      <c r="R36" s="268">
        <f>'Asset base'!R719+'Asset base'!R721</f>
        <v>0</v>
      </c>
      <c r="S36" s="268">
        <f>'Asset base'!S719+'Asset base'!S721</f>
        <v>0</v>
      </c>
      <c r="T36" s="268">
        <f>'Asset base'!T719+'Asset base'!T721</f>
        <v>0</v>
      </c>
      <c r="U36" s="268">
        <f>'Asset base'!U719+'Asset base'!U721</f>
        <v>0</v>
      </c>
      <c r="V36" s="268">
        <f>'Asset base'!V719+'Asset base'!V721</f>
        <v>0</v>
      </c>
      <c r="W36" s="268">
        <f>'Asset base'!W719+'Asset base'!W721</f>
        <v>0</v>
      </c>
      <c r="X36" s="268">
        <f>'Asset base'!X719+'Asset base'!X721</f>
        <v>0</v>
      </c>
      <c r="Y36" s="377"/>
    </row>
    <row r="37" spans="1:25">
      <c r="A37" s="100"/>
      <c r="B37" s="100"/>
      <c r="C37" s="100"/>
      <c r="D37" s="100"/>
      <c r="E37" s="100"/>
      <c r="F37" s="100"/>
      <c r="G37" s="100" t="s">
        <v>34</v>
      </c>
      <c r="H37" s="100"/>
      <c r="I37" s="100"/>
      <c r="J37" s="100"/>
      <c r="K37" s="152"/>
      <c r="L37" s="152"/>
      <c r="M37" s="152"/>
      <c r="N37" s="268">
        <f>'Asset base'!N728+'Asset base'!N730</f>
        <v>0</v>
      </c>
      <c r="O37" s="268">
        <f>'Asset base'!O728+'Asset base'!O730</f>
        <v>108825.46070574547</v>
      </c>
      <c r="P37" s="268">
        <f>'Asset base'!P728+'Asset base'!P730</f>
        <v>113540.30445958678</v>
      </c>
      <c r="Q37" s="268">
        <f>'Asset base'!Q728+'Asset base'!Q730</f>
        <v>118044.57782728474</v>
      </c>
      <c r="R37" s="268">
        <f>'Asset base'!R728+'Asset base'!R730</f>
        <v>122503.58599403173</v>
      </c>
      <c r="S37" s="268">
        <f>'Asset base'!S728+'Asset base'!S730</f>
        <v>126998.15437434308</v>
      </c>
      <c r="T37" s="268">
        <f>'Asset base'!T728+'Asset base'!T730</f>
        <v>126998.15437434308</v>
      </c>
      <c r="U37" s="268">
        <f>'Asset base'!U728+'Asset base'!U730</f>
        <v>126998.15437434308</v>
      </c>
      <c r="V37" s="268">
        <f>'Asset base'!V728+'Asset base'!V730</f>
        <v>126998.15437434308</v>
      </c>
      <c r="W37" s="268">
        <f>'Asset base'!W728+'Asset base'!W730</f>
        <v>126998.15437434308</v>
      </c>
      <c r="X37" s="268">
        <f>'Asset base'!X728+'Asset base'!X730</f>
        <v>126998.15437434302</v>
      </c>
      <c r="Y37" s="377"/>
    </row>
    <row r="38" spans="1:25">
      <c r="A38" s="100"/>
      <c r="B38" s="100"/>
      <c r="C38" s="100"/>
      <c r="D38" s="100"/>
      <c r="E38" s="100"/>
      <c r="F38" s="100"/>
      <c r="G38" s="100" t="s">
        <v>33</v>
      </c>
      <c r="H38" s="100"/>
      <c r="I38" s="100"/>
      <c r="J38" s="100"/>
      <c r="K38" s="152"/>
      <c r="L38" s="152"/>
      <c r="M38" s="152"/>
      <c r="N38" s="268">
        <f>'Asset base'!N737+'Asset base'!N739</f>
        <v>0</v>
      </c>
      <c r="O38" s="268">
        <f>'Asset base'!O737+'Asset base'!O739</f>
        <v>0</v>
      </c>
      <c r="P38" s="268">
        <f>'Asset base'!P737+'Asset base'!P739</f>
        <v>0</v>
      </c>
      <c r="Q38" s="268">
        <f>'Asset base'!Q737+'Asset base'!Q739</f>
        <v>0</v>
      </c>
      <c r="R38" s="268">
        <f>'Asset base'!R737+'Asset base'!R739</f>
        <v>0</v>
      </c>
      <c r="S38" s="268">
        <f>'Asset base'!S737+'Asset base'!S739</f>
        <v>0</v>
      </c>
      <c r="T38" s="268">
        <f>'Asset base'!T737+'Asset base'!T739</f>
        <v>0</v>
      </c>
      <c r="U38" s="268">
        <f>'Asset base'!U737+'Asset base'!U739</f>
        <v>0</v>
      </c>
      <c r="V38" s="268">
        <f>'Asset base'!V737+'Asset base'!V739</f>
        <v>0</v>
      </c>
      <c r="W38" s="268">
        <f>'Asset base'!W737+'Asset base'!W739</f>
        <v>0</v>
      </c>
      <c r="X38" s="268">
        <f>'Asset base'!X737+'Asset base'!X739</f>
        <v>0</v>
      </c>
      <c r="Y38" s="377"/>
    </row>
    <row r="39" spans="1:25">
      <c r="A39" s="100"/>
      <c r="B39" s="100"/>
      <c r="C39" s="100"/>
      <c r="D39" s="100"/>
      <c r="E39" s="100"/>
      <c r="F39" s="100"/>
      <c r="G39" s="100" t="s">
        <v>32</v>
      </c>
      <c r="H39" s="100"/>
      <c r="I39" s="100"/>
      <c r="J39" s="100"/>
      <c r="K39" s="152"/>
      <c r="L39" s="152"/>
      <c r="M39" s="152"/>
      <c r="N39" s="268">
        <f>'Asset base'!N746+'Asset base'!N748</f>
        <v>0</v>
      </c>
      <c r="O39" s="268">
        <f>'Asset base'!O746+'Asset base'!O748</f>
        <v>25606.23090965498</v>
      </c>
      <c r="P39" s="268">
        <f>'Asset base'!P746+'Asset base'!P748</f>
        <v>29778.165304835427</v>
      </c>
      <c r="Q39" s="268">
        <f>'Asset base'!Q746+'Asset base'!Q748</f>
        <v>30853.0138897201</v>
      </c>
      <c r="R39" s="268">
        <f>'Asset base'!R746+'Asset base'!R748</f>
        <v>32015.932925592166</v>
      </c>
      <c r="S39" s="268">
        <f>'Asset base'!S746+'Asset base'!S748</f>
        <v>32541.323761638141</v>
      </c>
      <c r="T39" s="268">
        <f>'Asset base'!T746+'Asset base'!T748</f>
        <v>20692.777778654669</v>
      </c>
      <c r="U39" s="268">
        <f>'Asset base'!U746+'Asset base'!U748</f>
        <v>20267.453168027074</v>
      </c>
      <c r="V39" s="268">
        <f>'Asset base'!V746+'Asset base'!V748</f>
        <v>20263.288634199223</v>
      </c>
      <c r="W39" s="268">
        <f>'Asset base'!W746+'Asset base'!W748</f>
        <v>20256.719092105981</v>
      </c>
      <c r="X39" s="268">
        <f>'Asset base'!X746+'Asset base'!X748</f>
        <v>20247.327451230318</v>
      </c>
      <c r="Y39" s="377"/>
    </row>
    <row r="40" spans="1:25">
      <c r="A40" s="100"/>
      <c r="B40" s="100"/>
      <c r="C40" s="100"/>
      <c r="D40" s="100"/>
      <c r="E40" s="100"/>
      <c r="F40" s="100"/>
      <c r="G40" s="100" t="s">
        <v>31</v>
      </c>
      <c r="H40" s="100"/>
      <c r="I40" s="100"/>
      <c r="J40" s="100"/>
      <c r="K40" s="152"/>
      <c r="L40" s="152"/>
      <c r="M40" s="152"/>
      <c r="N40" s="268">
        <f>'Asset base'!N755+'Asset base'!N757</f>
        <v>0</v>
      </c>
      <c r="O40" s="268">
        <f>'Asset base'!O755+'Asset base'!O757</f>
        <v>3022437.5862579551</v>
      </c>
      <c r="P40" s="268">
        <f>'Asset base'!P755+'Asset base'!P757</f>
        <v>3090517.5405120454</v>
      </c>
      <c r="Q40" s="268">
        <f>'Asset base'!Q755+'Asset base'!Q757</f>
        <v>3095870.9411325157</v>
      </c>
      <c r="R40" s="268">
        <f>'Asset base'!R755+'Asset base'!R757</f>
        <v>3101583.582590383</v>
      </c>
      <c r="S40" s="268">
        <f>'Asset base'!S755+'Asset base'!S757</f>
        <v>3108633.0169730387</v>
      </c>
      <c r="T40" s="268">
        <f>'Asset base'!T755+'Asset base'!T757</f>
        <v>3120775.6874555238</v>
      </c>
      <c r="U40" s="268">
        <f>'Asset base'!U755+'Asset base'!U757</f>
        <v>3120857.4554075669</v>
      </c>
      <c r="V40" s="268">
        <f>'Asset base'!V755+'Asset base'!V757</f>
        <v>3120829.3686457672</v>
      </c>
      <c r="W40" s="268">
        <f>'Asset base'!W755+'Asset base'!W757</f>
        <v>3120799.5917783617</v>
      </c>
      <c r="X40" s="268">
        <f>'Asset base'!X755+'Asset base'!X757</f>
        <v>3120767.9126925576</v>
      </c>
      <c r="Y40" s="377"/>
    </row>
    <row r="41" spans="1:25">
      <c r="A41" s="100"/>
      <c r="B41" s="100"/>
      <c r="C41" s="100"/>
      <c r="D41" s="100"/>
      <c r="E41" s="100"/>
      <c r="F41" s="100"/>
      <c r="G41" s="100" t="s">
        <v>30</v>
      </c>
      <c r="H41" s="100"/>
      <c r="I41" s="100"/>
      <c r="J41" s="100"/>
      <c r="K41" s="152"/>
      <c r="L41" s="152"/>
      <c r="M41" s="152"/>
      <c r="N41" s="268">
        <f>'Asset base'!N764+'Asset base'!N766</f>
        <v>0</v>
      </c>
      <c r="O41" s="268">
        <f>'Asset base'!O764+'Asset base'!O766</f>
        <v>0</v>
      </c>
      <c r="P41" s="268">
        <f>'Asset base'!P764+'Asset base'!P766</f>
        <v>0</v>
      </c>
      <c r="Q41" s="268">
        <f>'Asset base'!Q764+'Asset base'!Q766</f>
        <v>0</v>
      </c>
      <c r="R41" s="268">
        <f>'Asset base'!R764+'Asset base'!R766</f>
        <v>0</v>
      </c>
      <c r="S41" s="268">
        <f>'Asset base'!S764+'Asset base'!S766</f>
        <v>0</v>
      </c>
      <c r="T41" s="268">
        <f>'Asset base'!T764+'Asset base'!T766</f>
        <v>0</v>
      </c>
      <c r="U41" s="268">
        <f>'Asset base'!U764+'Asset base'!U766</f>
        <v>0</v>
      </c>
      <c r="V41" s="268">
        <f>'Asset base'!V764+'Asset base'!V766</f>
        <v>0</v>
      </c>
      <c r="W41" s="268">
        <f>'Asset base'!W764+'Asset base'!W766</f>
        <v>0</v>
      </c>
      <c r="X41" s="268">
        <f>'Asset base'!X764+'Asset base'!X766</f>
        <v>0</v>
      </c>
      <c r="Y41" s="377"/>
    </row>
    <row r="42" spans="1:25">
      <c r="A42" s="100"/>
      <c r="B42" s="100"/>
      <c r="C42" s="100"/>
      <c r="D42" s="100"/>
      <c r="E42" s="100"/>
      <c r="F42" s="100"/>
      <c r="G42" s="100" t="s">
        <v>29</v>
      </c>
      <c r="H42" s="100"/>
      <c r="I42" s="100"/>
      <c r="J42" s="100"/>
      <c r="K42" s="152"/>
      <c r="L42" s="152"/>
      <c r="M42" s="152"/>
      <c r="N42" s="268">
        <f>'Asset base'!N773+'Asset base'!N775</f>
        <v>0</v>
      </c>
      <c r="O42" s="268">
        <f>'Asset base'!O773+'Asset base'!O775</f>
        <v>508.9915512654951</v>
      </c>
      <c r="P42" s="268">
        <f>'Asset base'!P773+'Asset base'!P775</f>
        <v>508.9915512654951</v>
      </c>
      <c r="Q42" s="268">
        <f>'Asset base'!Q773+'Asset base'!Q775</f>
        <v>508.9915512654951</v>
      </c>
      <c r="R42" s="268">
        <f>'Asset base'!R773+'Asset base'!R775</f>
        <v>508.9915512654951</v>
      </c>
      <c r="S42" s="268">
        <f>'Asset base'!S773+'Asset base'!S775</f>
        <v>0</v>
      </c>
      <c r="T42" s="268">
        <f>'Asset base'!T773+'Asset base'!T775</f>
        <v>0</v>
      </c>
      <c r="U42" s="268">
        <f>'Asset base'!U773+'Asset base'!U775</f>
        <v>0</v>
      </c>
      <c r="V42" s="268">
        <f>'Asset base'!V773+'Asset base'!V775</f>
        <v>0</v>
      </c>
      <c r="W42" s="268">
        <f>'Asset base'!W773+'Asset base'!W775</f>
        <v>0</v>
      </c>
      <c r="X42" s="268">
        <f>'Asset base'!X773+'Asset base'!X775</f>
        <v>0</v>
      </c>
      <c r="Y42" s="377"/>
    </row>
    <row r="43" spans="1:25">
      <c r="A43" s="100"/>
      <c r="B43" s="100"/>
      <c r="C43" s="100"/>
      <c r="D43" s="100"/>
      <c r="E43" s="100"/>
      <c r="F43" s="100"/>
      <c r="G43" s="100" t="s">
        <v>86</v>
      </c>
      <c r="H43" s="100"/>
      <c r="I43" s="100"/>
      <c r="J43" s="100"/>
      <c r="K43" s="152"/>
      <c r="L43" s="152"/>
      <c r="M43" s="152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377"/>
    </row>
    <row r="44" spans="1:25">
      <c r="A44" s="100"/>
      <c r="B44" s="100"/>
      <c r="C44" s="100"/>
      <c r="D44" s="100"/>
      <c r="E44" s="100"/>
      <c r="F44" s="100"/>
      <c r="G44" s="100" t="s">
        <v>85</v>
      </c>
      <c r="H44" s="100"/>
      <c r="I44" s="100"/>
      <c r="J44" s="100"/>
      <c r="K44" s="152"/>
      <c r="L44" s="152"/>
      <c r="M44" s="152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377"/>
    </row>
    <row r="45" spans="1: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52"/>
      <c r="L45" s="152"/>
      <c r="M45" s="152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377"/>
    </row>
    <row r="46" spans="1:25">
      <c r="A46" s="100"/>
      <c r="B46" s="100"/>
      <c r="C46" s="100"/>
      <c r="D46" s="100"/>
      <c r="E46" s="100"/>
      <c r="F46" s="100"/>
      <c r="G46" s="100"/>
      <c r="H46" s="220"/>
      <c r="I46" s="220"/>
      <c r="J46" s="220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382"/>
    </row>
    <row r="47" spans="1:25">
      <c r="A47" s="100"/>
      <c r="B47" s="100"/>
      <c r="C47" s="100"/>
      <c r="D47" s="100"/>
      <c r="E47" s="100"/>
      <c r="F47" s="100"/>
      <c r="G47" s="200" t="s">
        <v>111</v>
      </c>
      <c r="H47" s="100"/>
      <c r="I47" s="100"/>
      <c r="J47" s="100"/>
      <c r="K47" s="152"/>
      <c r="L47" s="152"/>
      <c r="M47" s="152">
        <f t="shared" ref="M47:S47" si="3">SUM(M34:M46)</f>
        <v>0</v>
      </c>
      <c r="N47" s="152">
        <f t="shared" si="3"/>
        <v>0</v>
      </c>
      <c r="O47" s="152">
        <f t="shared" si="3"/>
        <v>3291068.2916545095</v>
      </c>
      <c r="P47" s="152">
        <f t="shared" si="3"/>
        <v>3391176.1483965712</v>
      </c>
      <c r="Q47" s="152">
        <f t="shared" si="3"/>
        <v>3432076.8205038332</v>
      </c>
      <c r="R47" s="152">
        <f t="shared" si="3"/>
        <v>3458236.4356923513</v>
      </c>
      <c r="S47" s="152">
        <f t="shared" si="3"/>
        <v>3483438.7123073898</v>
      </c>
      <c r="T47" s="152">
        <f>SUM(T34:T46)</f>
        <v>3347423.7475043302</v>
      </c>
      <c r="U47" s="152">
        <f>SUM(U34:U46)</f>
        <v>3320394.2327616331</v>
      </c>
      <c r="V47" s="152">
        <f>SUM(V34:V46)</f>
        <v>3299486.1297683124</v>
      </c>
      <c r="W47" s="152">
        <f>SUM(W34:W46)</f>
        <v>3286342.588560258</v>
      </c>
      <c r="X47" s="152">
        <f>SUM(X34:X46)</f>
        <v>3278885.4800060648</v>
      </c>
      <c r="Y47" s="363">
        <f>Y9</f>
        <v>16108109.345291743</v>
      </c>
    </row>
    <row r="48" spans="1:25">
      <c r="A48" s="100"/>
      <c r="B48" s="100"/>
      <c r="C48" s="100"/>
      <c r="D48" s="100"/>
      <c r="E48" s="100"/>
      <c r="F48" s="100"/>
      <c r="G48" s="149"/>
      <c r="H48" s="102"/>
      <c r="I48" s="106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352"/>
    </row>
    <row r="49" spans="1:25">
      <c r="A49" s="100"/>
      <c r="B49" s="100"/>
      <c r="C49" s="100"/>
      <c r="D49" s="100"/>
      <c r="E49" s="100"/>
      <c r="F49" s="100"/>
      <c r="G49" s="103"/>
      <c r="H49" s="121"/>
      <c r="I49" s="165"/>
      <c r="J49" s="165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363"/>
    </row>
    <row r="50" spans="1:25" ht="15.75">
      <c r="A50" s="100"/>
      <c r="B50" s="100"/>
      <c r="C50" s="100"/>
      <c r="D50" s="100"/>
      <c r="E50" s="100"/>
      <c r="F50" s="100"/>
      <c r="G50" s="89" t="s">
        <v>110</v>
      </c>
      <c r="H50" s="121"/>
      <c r="I50" s="165"/>
      <c r="J50" s="165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363"/>
    </row>
    <row r="51" spans="1:25">
      <c r="A51" s="100"/>
      <c r="B51" s="100"/>
      <c r="C51" s="100"/>
      <c r="D51" s="100"/>
      <c r="E51" s="100"/>
      <c r="F51" s="100"/>
      <c r="G51" s="100" t="s">
        <v>38</v>
      </c>
      <c r="H51" s="152"/>
      <c r="I51" s="152"/>
      <c r="J51" s="100"/>
      <c r="K51" s="214"/>
      <c r="L51" s="214"/>
      <c r="M51" s="214"/>
      <c r="N51" s="214">
        <f>'Asset base'!N695</f>
        <v>179071.04473881173</v>
      </c>
      <c r="O51" s="214">
        <f>'Asset base'!O695</f>
        <v>182831.53667832678</v>
      </c>
      <c r="P51" s="214">
        <f>'Asset base'!P695</f>
        <v>186670.99894857165</v>
      </c>
      <c r="Q51" s="214">
        <f>'Asset base'!Q695</f>
        <v>190591.08992649167</v>
      </c>
      <c r="R51" s="214">
        <f>'Asset base'!R695</f>
        <v>194593.50281494798</v>
      </c>
      <c r="S51" s="214">
        <f>'Asset base'!S695</f>
        <v>198679.96637406189</v>
      </c>
      <c r="T51" s="214">
        <f>'Asset base'!T695</f>
        <v>203646.96553341343</v>
      </c>
      <c r="U51" s="214">
        <f>'Asset base'!U695</f>
        <v>208738.13967174877</v>
      </c>
      <c r="V51" s="214">
        <f>'Asset base'!V695</f>
        <v>213956.59316354248</v>
      </c>
      <c r="W51" s="214">
        <f>'Asset base'!W695</f>
        <v>219305.50799263103</v>
      </c>
      <c r="X51" s="214">
        <f>'Asset base'!X695</f>
        <v>224788.14569244679</v>
      </c>
      <c r="Y51" s="380">
        <f>'Asset base'!Y695</f>
        <v>230407.84933475795</v>
      </c>
    </row>
    <row r="52" spans="1:25">
      <c r="A52" s="100"/>
      <c r="B52" s="100"/>
      <c r="C52" s="100"/>
      <c r="D52" s="100"/>
      <c r="E52" s="100"/>
      <c r="F52" s="100"/>
      <c r="G52" s="100" t="s">
        <v>37</v>
      </c>
      <c r="H52" s="152"/>
      <c r="I52" s="152"/>
      <c r="J52" s="100"/>
      <c r="K52" s="214"/>
      <c r="L52" s="214"/>
      <c r="M52" s="214"/>
      <c r="N52" s="214">
        <f>'Asset base'!N704</f>
        <v>95971.753896297174</v>
      </c>
      <c r="O52" s="214">
        <f>'Asset base'!O704</f>
        <v>97987.160728119416</v>
      </c>
      <c r="P52" s="214">
        <f>'Asset base'!P704</f>
        <v>100044.89110340993</v>
      </c>
      <c r="Q52" s="214">
        <f>'Asset base'!Q704</f>
        <v>102145.83381658154</v>
      </c>
      <c r="R52" s="214">
        <f>'Asset base'!R704</f>
        <v>104290.89632672975</v>
      </c>
      <c r="S52" s="214">
        <f>'Asset base'!S704</f>
        <v>106481.00514959107</v>
      </c>
      <c r="T52" s="214">
        <f>'Asset base'!T704</f>
        <v>109143.03027833084</v>
      </c>
      <c r="U52" s="214">
        <f>'Asset base'!U704</f>
        <v>111871.60603528912</v>
      </c>
      <c r="V52" s="214">
        <f>'Asset base'!V704</f>
        <v>114668.39618617135</v>
      </c>
      <c r="W52" s="214">
        <f>'Asset base'!W704</f>
        <v>117535.10609082563</v>
      </c>
      <c r="X52" s="214">
        <f>'Asset base'!X704</f>
        <v>120473.48374309628</v>
      </c>
      <c r="Y52" s="380">
        <f>'Asset base'!Y704</f>
        <v>123485.32083667369</v>
      </c>
    </row>
    <row r="53" spans="1:25">
      <c r="A53" s="100"/>
      <c r="B53" s="100"/>
      <c r="C53" s="100"/>
      <c r="D53" s="100"/>
      <c r="E53" s="100"/>
      <c r="F53" s="100"/>
      <c r="G53" s="100" t="s">
        <v>36</v>
      </c>
      <c r="H53" s="152"/>
      <c r="I53" s="152"/>
      <c r="J53" s="100"/>
      <c r="K53" s="214"/>
      <c r="L53" s="214"/>
      <c r="M53" s="214"/>
      <c r="N53" s="214">
        <f>'Asset base'!N713</f>
        <v>535155.67343262036</v>
      </c>
      <c r="O53" s="214">
        <f>'Asset base'!O713</f>
        <v>525870.6482091659</v>
      </c>
      <c r="P53" s="214">
        <f>'Asset base'!P713</f>
        <v>473326.07682455814</v>
      </c>
      <c r="Q53" s="214">
        <f>'Asset base'!Q713</f>
        <v>424819.09601225035</v>
      </c>
      <c r="R53" s="214">
        <f>'Asset base'!R713</f>
        <v>286757.13261314807</v>
      </c>
      <c r="S53" s="214">
        <f>'Asset base'!S713</f>
        <v>224085.25182143447</v>
      </c>
      <c r="T53" s="214">
        <f>'Asset base'!T713</f>
        <v>145128.12392562587</v>
      </c>
      <c r="U53" s="214">
        <f>'Asset base'!U713</f>
        <v>92856.954113929736</v>
      </c>
      <c r="V53" s="214">
        <f>'Asset base'!V713</f>
        <v>61461.635999926992</v>
      </c>
      <c r="W53" s="214">
        <f>'Asset base'!W713</f>
        <v>43173.512684479487</v>
      </c>
      <c r="X53" s="214">
        <f>'Asset base'!X713</f>
        <v>32301.427196545694</v>
      </c>
      <c r="Y53" s="380">
        <f>'Asset base'!Y713</f>
        <v>22289.432539787427</v>
      </c>
    </row>
    <row r="54" spans="1:25">
      <c r="A54" s="100"/>
      <c r="B54" s="100"/>
      <c r="C54" s="100"/>
      <c r="D54" s="100"/>
      <c r="E54" s="100"/>
      <c r="F54" s="100"/>
      <c r="G54" s="100" t="s">
        <v>35</v>
      </c>
      <c r="H54" s="152"/>
      <c r="I54" s="152"/>
      <c r="J54" s="100"/>
      <c r="K54" s="214"/>
      <c r="L54" s="214"/>
      <c r="M54" s="214"/>
      <c r="N54" s="214">
        <f>'Asset base'!N722</f>
        <v>0</v>
      </c>
      <c r="O54" s="214">
        <f>'Asset base'!O722</f>
        <v>0</v>
      </c>
      <c r="P54" s="214">
        <f>'Asset base'!P722</f>
        <v>0</v>
      </c>
      <c r="Q54" s="214">
        <f>'Asset base'!Q722</f>
        <v>0</v>
      </c>
      <c r="R54" s="214">
        <f>'Asset base'!R722</f>
        <v>0</v>
      </c>
      <c r="S54" s="214">
        <f>'Asset base'!S722</f>
        <v>0</v>
      </c>
      <c r="T54" s="214">
        <f>'Asset base'!T722</f>
        <v>0</v>
      </c>
      <c r="U54" s="214">
        <f>'Asset base'!U722</f>
        <v>0</v>
      </c>
      <c r="V54" s="214">
        <f>'Asset base'!V722</f>
        <v>0</v>
      </c>
      <c r="W54" s="214">
        <f>'Asset base'!W722</f>
        <v>0</v>
      </c>
      <c r="X54" s="214">
        <f>'Asset base'!X722</f>
        <v>0</v>
      </c>
      <c r="Y54" s="380">
        <f>'Asset base'!Y722</f>
        <v>0</v>
      </c>
    </row>
    <row r="55" spans="1:25">
      <c r="A55" s="100"/>
      <c r="B55" s="100"/>
      <c r="C55" s="100"/>
      <c r="D55" s="100"/>
      <c r="E55" s="100"/>
      <c r="F55" s="100"/>
      <c r="G55" s="100" t="s">
        <v>34</v>
      </c>
      <c r="H55" s="152"/>
      <c r="I55" s="152"/>
      <c r="J55" s="100"/>
      <c r="K55" s="214"/>
      <c r="L55" s="214"/>
      <c r="M55" s="214"/>
      <c r="N55" s="214">
        <f>'Asset base'!N731</f>
        <v>1043010.9184474562</v>
      </c>
      <c r="O55" s="214">
        <f>'Asset base'!O731</f>
        <v>979429.14635170926</v>
      </c>
      <c r="P55" s="214">
        <f>'Asset base'!P731</f>
        <v>913037.27943053562</v>
      </c>
      <c r="Q55" s="214">
        <f>'Asset base'!Q731</f>
        <v>840035.43528023048</v>
      </c>
      <c r="R55" s="214">
        <f>'Asset base'!R731</f>
        <v>762121.93095366866</v>
      </c>
      <c r="S55" s="214">
        <f>'Asset base'!S731</f>
        <v>680069.46038243896</v>
      </c>
      <c r="T55" s="214">
        <f>'Asset base'!T731</f>
        <v>553071.30600809585</v>
      </c>
      <c r="U55" s="214">
        <f>'Asset base'!U731</f>
        <v>426073.15163375274</v>
      </c>
      <c r="V55" s="214">
        <f>'Asset base'!V731</f>
        <v>299074.99725940963</v>
      </c>
      <c r="W55" s="214">
        <f>'Asset base'!W731</f>
        <v>172076.84288506655</v>
      </c>
      <c r="X55" s="214">
        <f>'Asset base'!X731</f>
        <v>45078.688510723528</v>
      </c>
      <c r="Y55" s="380">
        <f>'Asset base'!Y731</f>
        <v>26905.994842125925</v>
      </c>
    </row>
    <row r="56" spans="1:25">
      <c r="A56" s="100"/>
      <c r="B56" s="100"/>
      <c r="C56" s="100"/>
      <c r="D56" s="100"/>
      <c r="E56" s="100"/>
      <c r="F56" s="100"/>
      <c r="G56" s="100" t="s">
        <v>33</v>
      </c>
      <c r="H56" s="152"/>
      <c r="I56" s="152"/>
      <c r="J56" s="100"/>
      <c r="K56" s="214"/>
      <c r="L56" s="214"/>
      <c r="M56" s="214"/>
      <c r="N56" s="214">
        <f>'Asset base'!N740</f>
        <v>0</v>
      </c>
      <c r="O56" s="214">
        <f>'Asset base'!O740</f>
        <v>0</v>
      </c>
      <c r="P56" s="214">
        <f>'Asset base'!P740</f>
        <v>0</v>
      </c>
      <c r="Q56" s="214">
        <f>'Asset base'!Q740</f>
        <v>0</v>
      </c>
      <c r="R56" s="214">
        <f>'Asset base'!R740</f>
        <v>0</v>
      </c>
      <c r="S56" s="214">
        <f>'Asset base'!S740</f>
        <v>0</v>
      </c>
      <c r="T56" s="214">
        <f>'Asset base'!T740</f>
        <v>0</v>
      </c>
      <c r="U56" s="214">
        <f>'Asset base'!U740</f>
        <v>0</v>
      </c>
      <c r="V56" s="214">
        <f>'Asset base'!V740</f>
        <v>0</v>
      </c>
      <c r="W56" s="214">
        <f>'Asset base'!W740</f>
        <v>0</v>
      </c>
      <c r="X56" s="214">
        <f>'Asset base'!X740</f>
        <v>0</v>
      </c>
      <c r="Y56" s="380">
        <f>'Asset base'!Y740</f>
        <v>0</v>
      </c>
    </row>
    <row r="57" spans="1:25">
      <c r="A57" s="100"/>
      <c r="B57" s="100"/>
      <c r="C57" s="100"/>
      <c r="D57" s="100"/>
      <c r="E57" s="100"/>
      <c r="F57" s="100"/>
      <c r="G57" s="100" t="s">
        <v>32</v>
      </c>
      <c r="H57" s="152"/>
      <c r="I57" s="152"/>
      <c r="J57" s="100"/>
      <c r="K57" s="214"/>
      <c r="L57" s="214"/>
      <c r="M57" s="214"/>
      <c r="N57" s="214">
        <f>'Asset base'!N749</f>
        <v>68831.460954112423</v>
      </c>
      <c r="O57" s="214">
        <f>'Asset base'!O749</f>
        <v>139026.26662987974</v>
      </c>
      <c r="P57" s="214">
        <f>'Asset base'!P749</f>
        <v>147856.89875895134</v>
      </c>
      <c r="Q57" s="214">
        <f>'Asset base'!Q749</f>
        <v>133264.38371142009</v>
      </c>
      <c r="R57" s="214">
        <f>'Asset base'!R749</f>
        <v>117506.66358756581</v>
      </c>
      <c r="S57" s="214">
        <f>'Asset base'!S749</f>
        <v>148208.49344323922</v>
      </c>
      <c r="T57" s="214">
        <f>'Asset base'!T749</f>
        <v>131220.92800066553</v>
      </c>
      <c r="U57" s="214">
        <f>'Asset base'!U749</f>
        <v>114233.9980326551</v>
      </c>
      <c r="V57" s="214">
        <f>'Asset base'!V749</f>
        <v>96826.559349272255</v>
      </c>
      <c r="W57" s="214">
        <f>'Asset base'!W749</f>
        <v>78990.504240898081</v>
      </c>
      <c r="X57" s="214">
        <f>'Asset base'!X749</f>
        <v>60717.93939569022</v>
      </c>
      <c r="Y57" s="380">
        <f>'Asset base'!Y749</f>
        <v>50076.048363969756</v>
      </c>
    </row>
    <row r="58" spans="1:25">
      <c r="A58" s="100"/>
      <c r="B58" s="100"/>
      <c r="C58" s="100"/>
      <c r="D58" s="100"/>
      <c r="E58" s="100"/>
      <c r="F58" s="100"/>
      <c r="G58" s="100" t="s">
        <v>31</v>
      </c>
      <c r="H58" s="152"/>
      <c r="I58" s="152"/>
      <c r="J58" s="100"/>
      <c r="K58" s="214"/>
      <c r="L58" s="214"/>
      <c r="M58" s="214"/>
      <c r="N58" s="214">
        <f>'Asset base'!N758</f>
        <v>81083053.507438153</v>
      </c>
      <c r="O58" s="214">
        <f>'Asset base'!O758</f>
        <v>79887749.765456229</v>
      </c>
      <c r="P58" s="214">
        <f>'Asset base'!P758</f>
        <v>78525675.731919914</v>
      </c>
      <c r="Q58" s="214">
        <f>'Asset base'!Q758</f>
        <v>77135221.783224091</v>
      </c>
      <c r="R58" s="214">
        <f>'Asset base'!R758</f>
        <v>75819255.657501534</v>
      </c>
      <c r="S58" s="214">
        <f>'Asset base'!S758</f>
        <v>74373351.648172677</v>
      </c>
      <c r="T58" s="214">
        <f>'Asset base'!T758</f>
        <v>73111909.751921475</v>
      </c>
      <c r="U58" s="214">
        <f>'Asset base'!U758</f>
        <v>71818850.040311947</v>
      </c>
      <c r="V58" s="214">
        <f>'Asset base'!V758</f>
        <v>70493491.92267397</v>
      </c>
      <c r="W58" s="214">
        <f>'Asset base'!W758</f>
        <v>69135029.628962457</v>
      </c>
      <c r="X58" s="214">
        <f>'Asset base'!X758</f>
        <v>67742637.456993952</v>
      </c>
      <c r="Y58" s="380">
        <f>'Asset base'!Y758</f>
        <v>66321418.31324444</v>
      </c>
    </row>
    <row r="59" spans="1:25">
      <c r="A59" s="100"/>
      <c r="B59" s="100"/>
      <c r="C59" s="100"/>
      <c r="D59" s="100"/>
      <c r="E59" s="100"/>
      <c r="F59" s="100"/>
      <c r="G59" s="100" t="s">
        <v>30</v>
      </c>
      <c r="H59" s="152"/>
      <c r="I59" s="152"/>
      <c r="J59" s="100"/>
      <c r="K59" s="214"/>
      <c r="L59" s="214"/>
      <c r="M59" s="214"/>
      <c r="N59" s="214">
        <f>'Asset base'!N768</f>
        <v>0</v>
      </c>
      <c r="O59" s="214">
        <f>'Asset base'!O768</f>
        <v>0</v>
      </c>
      <c r="P59" s="214">
        <f>'Asset base'!P768</f>
        <v>0</v>
      </c>
      <c r="Q59" s="214">
        <f>'Asset base'!Q768</f>
        <v>0</v>
      </c>
      <c r="R59" s="214">
        <f>'Asset base'!R768</f>
        <v>0</v>
      </c>
      <c r="S59" s="214">
        <f>'Asset base'!S768</f>
        <v>0</v>
      </c>
      <c r="T59" s="214">
        <f>'Asset base'!T768</f>
        <v>0</v>
      </c>
      <c r="U59" s="214">
        <f>'Asset base'!U768</f>
        <v>0</v>
      </c>
      <c r="V59" s="214">
        <f>'Asset base'!V768</f>
        <v>0</v>
      </c>
      <c r="W59" s="214">
        <f>'Asset base'!W768</f>
        <v>0</v>
      </c>
      <c r="X59" s="214">
        <f>'Asset base'!X768</f>
        <v>0</v>
      </c>
      <c r="Y59" s="380">
        <f>'Asset base'!Y768</f>
        <v>0</v>
      </c>
    </row>
    <row r="60" spans="1:25">
      <c r="A60" s="100"/>
      <c r="B60" s="100"/>
      <c r="C60" s="100"/>
      <c r="D60" s="100"/>
      <c r="E60" s="100"/>
      <c r="F60" s="100"/>
      <c r="G60" s="100" t="s">
        <v>29</v>
      </c>
      <c r="H60" s="152"/>
      <c r="I60" s="152"/>
      <c r="J60" s="100"/>
      <c r="K60" s="214"/>
      <c r="L60" s="214"/>
      <c r="M60" s="214"/>
      <c r="N60" s="214">
        <f>'Asset base'!N776</f>
        <v>2035.9662050619804</v>
      </c>
      <c r="O60" s="214">
        <f>'Asset base'!O776</f>
        <v>1526.9746537964852</v>
      </c>
      <c r="P60" s="214">
        <f>'Asset base'!P776</f>
        <v>1017.9831025309901</v>
      </c>
      <c r="Q60" s="214">
        <f>'Asset base'!Q776</f>
        <v>508.99155126549499</v>
      </c>
      <c r="R60" s="214">
        <f>'Asset base'!R776</f>
        <v>0</v>
      </c>
      <c r="S60" s="214">
        <f>'Asset base'!S776</f>
        <v>0</v>
      </c>
      <c r="T60" s="214">
        <f>'Asset base'!T776</f>
        <v>0</v>
      </c>
      <c r="U60" s="214">
        <f>'Asset base'!U776</f>
        <v>0</v>
      </c>
      <c r="V60" s="214">
        <f>'Asset base'!V776</f>
        <v>0</v>
      </c>
      <c r="W60" s="214">
        <f>'Asset base'!W776</f>
        <v>0</v>
      </c>
      <c r="X60" s="214">
        <f>'Asset base'!X776</f>
        <v>0</v>
      </c>
      <c r="Y60" s="380">
        <f>'Asset base'!Y776</f>
        <v>0</v>
      </c>
    </row>
    <row r="61" spans="1:25">
      <c r="A61" s="100"/>
      <c r="B61" s="100"/>
      <c r="C61" s="100"/>
      <c r="D61" s="100"/>
      <c r="E61" s="100"/>
      <c r="F61" s="100"/>
      <c r="G61" s="220"/>
      <c r="H61" s="266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383"/>
    </row>
    <row r="62" spans="1:25">
      <c r="A62" s="100"/>
      <c r="B62" s="100"/>
      <c r="C62" s="100"/>
      <c r="D62" s="100"/>
      <c r="E62" s="100"/>
      <c r="F62" s="100"/>
      <c r="G62" s="100" t="s">
        <v>109</v>
      </c>
      <c r="H62" s="102"/>
      <c r="I62" s="100"/>
      <c r="J62" s="100"/>
      <c r="K62" s="152">
        <f t="shared" ref="K62:X62" si="4">SUM(K51:K61)</f>
        <v>0</v>
      </c>
      <c r="L62" s="152">
        <f t="shared" si="4"/>
        <v>0</v>
      </c>
      <c r="M62" s="152">
        <f t="shared" si="4"/>
        <v>0</v>
      </c>
      <c r="N62" s="152">
        <f t="shared" si="4"/>
        <v>83007130.325112507</v>
      </c>
      <c r="O62" s="152">
        <f t="shared" si="4"/>
        <v>81814421.49870722</v>
      </c>
      <c r="P62" s="152">
        <f t="shared" si="4"/>
        <v>80347629.860088468</v>
      </c>
      <c r="Q62" s="152">
        <f t="shared" si="4"/>
        <v>78826586.613522336</v>
      </c>
      <c r="R62" s="152">
        <f t="shared" si="4"/>
        <v>77284525.783797592</v>
      </c>
      <c r="S62" s="152">
        <f t="shared" si="4"/>
        <v>75730875.825343445</v>
      </c>
      <c r="T62" s="152">
        <f t="shared" si="4"/>
        <v>74254120.105667606</v>
      </c>
      <c r="U62" s="152">
        <f t="shared" si="4"/>
        <v>72772623.889799327</v>
      </c>
      <c r="V62" s="152">
        <f t="shared" si="4"/>
        <v>71279480.104632288</v>
      </c>
      <c r="W62" s="152">
        <f t="shared" si="4"/>
        <v>69766111.102856353</v>
      </c>
      <c r="X62" s="152">
        <f t="shared" si="4"/>
        <v>68225997.141532451</v>
      </c>
      <c r="Y62" s="363">
        <f>Y10</f>
        <v>326261681.92871648</v>
      </c>
    </row>
    <row r="63" spans="1:25">
      <c r="A63" s="100"/>
      <c r="B63" s="100"/>
      <c r="C63" s="100"/>
      <c r="D63" s="100"/>
      <c r="E63" s="100"/>
      <c r="F63" s="100"/>
      <c r="G63" s="100"/>
      <c r="H63" s="102"/>
      <c r="I63" s="100"/>
      <c r="J63" s="100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363"/>
    </row>
    <row r="64" spans="1:25">
      <c r="A64" s="100"/>
      <c r="B64" s="100"/>
      <c r="C64" s="100"/>
      <c r="D64" s="100"/>
      <c r="E64" s="100"/>
      <c r="F64" s="100"/>
      <c r="G64" s="103" t="s">
        <v>108</v>
      </c>
      <c r="H64" s="102"/>
      <c r="I64" s="100"/>
      <c r="J64" s="100"/>
      <c r="K64" s="152">
        <f>K62</f>
        <v>0</v>
      </c>
      <c r="L64" s="152">
        <f t="shared" ref="L64:S64" si="5">AVERAGE(K62:L62)</f>
        <v>0</v>
      </c>
      <c r="M64" s="152">
        <f t="shared" si="5"/>
        <v>0</v>
      </c>
      <c r="N64" s="152">
        <f>AVERAGE(N62)</f>
        <v>83007130.325112507</v>
      </c>
      <c r="O64" s="152">
        <f t="shared" si="5"/>
        <v>82410775.911909863</v>
      </c>
      <c r="P64" s="152">
        <f t="shared" si="5"/>
        <v>81081025.679397851</v>
      </c>
      <c r="Q64" s="152">
        <f t="shared" si="5"/>
        <v>79587108.236805409</v>
      </c>
      <c r="R64" s="152">
        <f t="shared" si="5"/>
        <v>78055556.198659956</v>
      </c>
      <c r="S64" s="152">
        <f t="shared" si="5"/>
        <v>76507700.804570526</v>
      </c>
      <c r="T64" s="152">
        <f>AVERAGE(S62:T62)</f>
        <v>74992497.965505525</v>
      </c>
      <c r="U64" s="152">
        <f>AVERAGE(T62:U62)</f>
        <v>73513371.997733474</v>
      </c>
      <c r="V64" s="152">
        <f>AVERAGE(U62:V62)</f>
        <v>72026051.997215807</v>
      </c>
      <c r="W64" s="152">
        <f>AVERAGE(V62:W62)</f>
        <v>70522795.603744328</v>
      </c>
      <c r="X64" s="152">
        <f>AVERAGE(W62:X62)</f>
        <v>68996054.122194409</v>
      </c>
      <c r="Y64" s="363">
        <f>Y62</f>
        <v>326261681.92871648</v>
      </c>
    </row>
    <row r="65" spans="1:25">
      <c r="A65" s="100"/>
      <c r="B65" s="100"/>
      <c r="C65" s="100"/>
      <c r="D65" s="100"/>
      <c r="E65" s="100"/>
      <c r="F65" s="100"/>
      <c r="G65" s="103" t="s">
        <v>107</v>
      </c>
      <c r="H65" s="102"/>
      <c r="I65" s="100"/>
      <c r="J65" s="100"/>
      <c r="K65" s="277"/>
      <c r="L65" s="277"/>
      <c r="M65" s="276"/>
      <c r="N65" s="276">
        <f>WACC!N32</f>
        <v>0.13554266666666667</v>
      </c>
      <c r="O65" s="276">
        <f>WACC!O32</f>
        <v>0.13554266666666667</v>
      </c>
      <c r="P65" s="276">
        <f>WACC!P32</f>
        <v>0.13554266666666667</v>
      </c>
      <c r="Q65" s="276">
        <f>WACC!Q32</f>
        <v>0.13554266666666667</v>
      </c>
      <c r="R65" s="276">
        <f>WACC!R32</f>
        <v>0.13554266666666667</v>
      </c>
      <c r="S65" s="276">
        <f>WACC!S32</f>
        <v>0.13554266666666667</v>
      </c>
      <c r="T65" s="276">
        <f>WACC!T32</f>
        <v>0.13554266666666667</v>
      </c>
      <c r="U65" s="276">
        <f>WACC!U32</f>
        <v>0.13554266666666667</v>
      </c>
      <c r="V65" s="276">
        <f>WACC!V32</f>
        <v>0.13554266666666667</v>
      </c>
      <c r="W65" s="276">
        <f>WACC!W32</f>
        <v>0.13554266666666667</v>
      </c>
      <c r="X65" s="276">
        <f>WACC!X32</f>
        <v>0.13554266666666667</v>
      </c>
      <c r="Y65" s="386">
        <f>WACC!Y32</f>
        <v>0.13554266666666667</v>
      </c>
    </row>
    <row r="66" spans="1:25">
      <c r="A66" s="100"/>
      <c r="B66" s="100"/>
      <c r="C66" s="100"/>
      <c r="D66" s="100"/>
      <c r="E66" s="100"/>
      <c r="F66" s="100"/>
      <c r="G66" s="103" t="s">
        <v>106</v>
      </c>
      <c r="H66" s="102"/>
      <c r="I66" s="100"/>
      <c r="J66" s="100"/>
      <c r="K66" s="152">
        <f t="shared" ref="K66:S66" si="6">(K64*K65)</f>
        <v>0</v>
      </c>
      <c r="L66" s="152">
        <f t="shared" si="6"/>
        <v>0</v>
      </c>
      <c r="M66" s="152">
        <f t="shared" si="6"/>
        <v>0</v>
      </c>
      <c r="N66" s="152">
        <f t="shared" si="6"/>
        <v>11251007.796613283</v>
      </c>
      <c r="O66" s="152">
        <f t="shared" si="6"/>
        <v>11170176.329169361</v>
      </c>
      <c r="P66" s="152">
        <f t="shared" si="6"/>
        <v>10989938.436654063</v>
      </c>
      <c r="Q66" s="152">
        <f t="shared" si="6"/>
        <v>10787448.882705238</v>
      </c>
      <c r="R66" s="152">
        <f t="shared" si="6"/>
        <v>10579858.235316234</v>
      </c>
      <c r="S66" s="152">
        <f t="shared" si="6"/>
        <v>10370057.787586968</v>
      </c>
      <c r="T66" s="152">
        <f t="shared" ref="T66:Y66" si="7">(T64*T65)</f>
        <v>10164683.154239194</v>
      </c>
      <c r="U66" s="152">
        <f t="shared" si="7"/>
        <v>9964198.4762314558</v>
      </c>
      <c r="V66" s="152">
        <f t="shared" si="7"/>
        <v>9762603.1571746226</v>
      </c>
      <c r="W66" s="152">
        <f t="shared" si="7"/>
        <v>9558847.776919784</v>
      </c>
      <c r="X66" s="152">
        <f t="shared" si="7"/>
        <v>9351909.1651998907</v>
      </c>
      <c r="Y66" s="363">
        <f t="shared" si="7"/>
        <v>44222378.399770044</v>
      </c>
    </row>
    <row r="67" spans="1:25">
      <c r="A67" s="100"/>
      <c r="B67" s="100"/>
      <c r="C67" s="100"/>
      <c r="D67" s="100"/>
      <c r="E67" s="100"/>
      <c r="F67" s="100"/>
      <c r="G67" s="134"/>
      <c r="H67" s="102"/>
      <c r="I67" s="100"/>
      <c r="J67" s="100"/>
      <c r="K67" s="263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363"/>
    </row>
    <row r="68" spans="1:25">
      <c r="A68" s="100"/>
      <c r="B68" s="100"/>
      <c r="C68" s="100"/>
      <c r="D68" s="100"/>
      <c r="E68" s="100"/>
      <c r="F68" s="100"/>
      <c r="G68" s="100"/>
      <c r="H68" s="102"/>
      <c r="I68" s="100"/>
      <c r="J68" s="100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363"/>
    </row>
    <row r="69" spans="1:25" ht="15.75">
      <c r="A69" s="130"/>
      <c r="B69" s="130"/>
      <c r="C69" s="130"/>
      <c r="D69" s="130"/>
      <c r="E69" s="130"/>
      <c r="F69" s="130"/>
      <c r="G69" s="162" t="s">
        <v>144</v>
      </c>
      <c r="H69" s="161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359"/>
    </row>
    <row r="70" spans="1: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352"/>
    </row>
    <row r="71" spans="1:25">
      <c r="A71" s="100"/>
      <c r="B71" s="100"/>
      <c r="C71" s="100"/>
      <c r="D71" s="100"/>
      <c r="E71" s="100"/>
      <c r="F71" t="s">
        <v>249</v>
      </c>
      <c r="G71" s="103"/>
      <c r="H71" s="102"/>
      <c r="I71" s="100"/>
      <c r="J71" s="100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363"/>
    </row>
    <row r="72" spans="1:25">
      <c r="G72" s="103" t="s">
        <v>105</v>
      </c>
      <c r="K72" s="152">
        <f t="shared" ref="K72:Y72" si="8">K26+K29</f>
        <v>0</v>
      </c>
      <c r="L72" s="152">
        <f t="shared" si="8"/>
        <v>0</v>
      </c>
      <c r="M72" s="152">
        <f t="shared" si="8"/>
        <v>0</v>
      </c>
      <c r="N72" s="152">
        <f t="shared" si="8"/>
        <v>4803150.759718853</v>
      </c>
      <c r="O72" s="152">
        <f t="shared" si="8"/>
        <v>5210259.4511609403</v>
      </c>
      <c r="P72" s="152">
        <f t="shared" si="8"/>
        <v>5596434.8976499513</v>
      </c>
      <c r="Q72" s="152">
        <f t="shared" si="8"/>
        <v>5709649.8565609362</v>
      </c>
      <c r="R72" s="152">
        <f t="shared" si="8"/>
        <v>5829518.7065951591</v>
      </c>
      <c r="S72" s="152">
        <f t="shared" si="8"/>
        <v>5951732.6753231259</v>
      </c>
      <c r="T72" s="152">
        <f t="shared" si="8"/>
        <v>6172367.3077930762</v>
      </c>
      <c r="U72" s="152">
        <f t="shared" si="8"/>
        <v>6326209.3173166467</v>
      </c>
      <c r="V72" s="152">
        <f t="shared" si="8"/>
        <v>6484080.6571950316</v>
      </c>
      <c r="W72" s="152">
        <f t="shared" si="8"/>
        <v>6645663.0523346672</v>
      </c>
      <c r="X72" s="152">
        <f t="shared" si="8"/>
        <v>6811404.9660302084</v>
      </c>
      <c r="Y72" s="363">
        <f t="shared" si="8"/>
        <v>40484778.481727645</v>
      </c>
    </row>
    <row r="73" spans="1:25">
      <c r="G73" s="103" t="s">
        <v>104</v>
      </c>
      <c r="K73" s="164">
        <f t="shared" ref="K73:X73" si="9">K47</f>
        <v>0</v>
      </c>
      <c r="L73" s="164">
        <f t="shared" si="9"/>
        <v>0</v>
      </c>
      <c r="M73" s="152">
        <f t="shared" si="9"/>
        <v>0</v>
      </c>
      <c r="N73" s="152">
        <f t="shared" si="9"/>
        <v>0</v>
      </c>
      <c r="O73" s="152">
        <f t="shared" si="9"/>
        <v>3291068.2916545095</v>
      </c>
      <c r="P73" s="152">
        <f t="shared" si="9"/>
        <v>3391176.1483965712</v>
      </c>
      <c r="Q73" s="152">
        <f t="shared" si="9"/>
        <v>3432076.8205038332</v>
      </c>
      <c r="R73" s="152">
        <f t="shared" si="9"/>
        <v>3458236.4356923513</v>
      </c>
      <c r="S73" s="152">
        <f t="shared" si="9"/>
        <v>3483438.7123073898</v>
      </c>
      <c r="T73" s="152">
        <f t="shared" si="9"/>
        <v>3347423.7475043302</v>
      </c>
      <c r="U73" s="152">
        <f t="shared" si="9"/>
        <v>3320394.2327616331</v>
      </c>
      <c r="V73" s="152">
        <f t="shared" si="9"/>
        <v>3299486.1297683124</v>
      </c>
      <c r="W73" s="152">
        <f t="shared" si="9"/>
        <v>3286342.588560258</v>
      </c>
      <c r="X73" s="152">
        <f t="shared" si="9"/>
        <v>3278885.4800060648</v>
      </c>
      <c r="Y73" s="363">
        <f>Y47</f>
        <v>16108109.345291743</v>
      </c>
    </row>
    <row r="74" spans="1:25">
      <c r="G74" s="103" t="s">
        <v>282</v>
      </c>
      <c r="K74" s="284">
        <f t="shared" ref="K74:S74" si="10">K66</f>
        <v>0</v>
      </c>
      <c r="L74" s="284">
        <f t="shared" si="10"/>
        <v>0</v>
      </c>
      <c r="M74" s="152">
        <f t="shared" si="10"/>
        <v>0</v>
      </c>
      <c r="N74" s="152">
        <f t="shared" si="10"/>
        <v>11251007.796613283</v>
      </c>
      <c r="O74" s="152">
        <f t="shared" si="10"/>
        <v>11170176.329169361</v>
      </c>
      <c r="P74" s="152">
        <f t="shared" si="10"/>
        <v>10989938.436654063</v>
      </c>
      <c r="Q74" s="152">
        <f t="shared" si="10"/>
        <v>10787448.882705238</v>
      </c>
      <c r="R74" s="152">
        <f t="shared" si="10"/>
        <v>10579858.235316234</v>
      </c>
      <c r="S74" s="152">
        <f t="shared" si="10"/>
        <v>10370057.787586968</v>
      </c>
      <c r="T74" s="152">
        <f t="shared" ref="T74:Y74" si="11">T66</f>
        <v>10164683.154239194</v>
      </c>
      <c r="U74" s="152">
        <f t="shared" si="11"/>
        <v>9964198.4762314558</v>
      </c>
      <c r="V74" s="152">
        <f t="shared" si="11"/>
        <v>9762603.1571746226</v>
      </c>
      <c r="W74" s="152">
        <f t="shared" si="11"/>
        <v>9558847.776919784</v>
      </c>
      <c r="X74" s="152">
        <f t="shared" si="11"/>
        <v>9351909.1651998907</v>
      </c>
      <c r="Y74" s="363">
        <f t="shared" si="11"/>
        <v>44222378.399770044</v>
      </c>
    </row>
    <row r="75" spans="1:25">
      <c r="G75" s="103" t="s">
        <v>208</v>
      </c>
      <c r="M75" s="152">
        <f>-M30</f>
        <v>0</v>
      </c>
      <c r="N75" s="152">
        <f t="shared" ref="N75:X75" si="12">-N30</f>
        <v>0</v>
      </c>
      <c r="O75" s="152">
        <f t="shared" si="12"/>
        <v>-1709965.483107575</v>
      </c>
      <c r="P75" s="152">
        <f t="shared" si="12"/>
        <v>-1686459.4893193438</v>
      </c>
      <c r="Q75" s="152">
        <f t="shared" si="12"/>
        <v>-1658165.2189353479</v>
      </c>
      <c r="R75" s="152">
        <f t="shared" si="12"/>
        <v>-1628785.6849042503</v>
      </c>
      <c r="S75" s="152">
        <f t="shared" si="12"/>
        <v>-1600948.5811248464</v>
      </c>
      <c r="T75" s="152">
        <f t="shared" si="12"/>
        <v>-1870668.0278284892</v>
      </c>
      <c r="U75" s="152">
        <f t="shared" si="12"/>
        <v>-1838898.0168933473</v>
      </c>
      <c r="V75" s="152">
        <f t="shared" si="12"/>
        <v>-1806342.3446012912</v>
      </c>
      <c r="W75" s="152">
        <f t="shared" si="12"/>
        <v>-1772973.5867843239</v>
      </c>
      <c r="X75" s="152">
        <f t="shared" si="12"/>
        <v>-1738771.5186821704</v>
      </c>
      <c r="Y75" s="363">
        <f>-Y30</f>
        <v>-8356977.5962910242</v>
      </c>
    </row>
    <row r="76" spans="1:25">
      <c r="G76" s="103" t="s">
        <v>207</v>
      </c>
      <c r="M76" s="152"/>
      <c r="N76" s="152">
        <f>-'09-12 revaluation booked income'!N19</f>
        <v>0</v>
      </c>
      <c r="O76" s="152">
        <f>-'09-12 revaluation booked income'!O19</f>
        <v>-772890.00426793715</v>
      </c>
      <c r="P76" s="152">
        <f>-'09-12 revaluation booked income'!P19</f>
        <v>-772890.00426793715</v>
      </c>
      <c r="Q76" s="152">
        <f>-'09-12 revaluation booked income'!Q19</f>
        <v>-772890.00426793715</v>
      </c>
      <c r="R76" s="152">
        <f>-'09-12 revaluation booked income'!R19</f>
        <v>-772890.00426793715</v>
      </c>
      <c r="S76" s="152">
        <f>-'09-12 revaluation booked income'!S19</f>
        <v>-772890.00426793715</v>
      </c>
      <c r="T76" s="152">
        <f>-'09-12 revaluation booked income'!T19</f>
        <v>0</v>
      </c>
      <c r="U76" s="152">
        <f>-'09-12 revaluation booked income'!U19</f>
        <v>0</v>
      </c>
      <c r="V76" s="152">
        <f>-'09-12 revaluation booked income'!V19</f>
        <v>0</v>
      </c>
      <c r="W76" s="152">
        <f>-'09-12 revaluation booked income'!W19</f>
        <v>0</v>
      </c>
      <c r="X76" s="152">
        <f>-'09-12 revaluation booked income'!X19</f>
        <v>0</v>
      </c>
      <c r="Y76" s="363"/>
    </row>
    <row r="77" spans="1:25">
      <c r="G77" s="262" t="s">
        <v>141</v>
      </c>
      <c r="H77" s="261"/>
      <c r="I77" s="261"/>
      <c r="J77" s="261"/>
      <c r="K77" s="261"/>
      <c r="L77" s="261"/>
      <c r="M77" s="166">
        <f>SUM(M72:M75)</f>
        <v>0</v>
      </c>
      <c r="N77" s="166">
        <f>SUM(N72:N76)</f>
        <v>16054158.556332137</v>
      </c>
      <c r="O77" s="166">
        <f t="shared" ref="O77:Y77" si="13">SUM(O72:O76)</f>
        <v>17188648.5846093</v>
      </c>
      <c r="P77" s="166">
        <f t="shared" si="13"/>
        <v>17518199.989113305</v>
      </c>
      <c r="Q77" s="166">
        <f t="shared" si="13"/>
        <v>17498120.33656672</v>
      </c>
      <c r="R77" s="166">
        <f t="shared" si="13"/>
        <v>17465937.688431557</v>
      </c>
      <c r="S77" s="166">
        <f t="shared" si="13"/>
        <v>17431390.589824699</v>
      </c>
      <c r="T77" s="166">
        <f t="shared" si="13"/>
        <v>17813806.181708112</v>
      </c>
      <c r="U77" s="166">
        <f t="shared" si="13"/>
        <v>17771904.00941639</v>
      </c>
      <c r="V77" s="166">
        <f t="shared" si="13"/>
        <v>17739827.599536676</v>
      </c>
      <c r="W77" s="166">
        <f t="shared" si="13"/>
        <v>17717879.831030384</v>
      </c>
      <c r="X77" s="166">
        <f t="shared" si="13"/>
        <v>17703428.092553992</v>
      </c>
      <c r="Y77" s="166">
        <f t="shared" si="13"/>
        <v>92458288.630498409</v>
      </c>
    </row>
    <row r="80" spans="1:25">
      <c r="F80" t="s">
        <v>250</v>
      </c>
    </row>
    <row r="81" spans="7:25">
      <c r="G81" s="103" t="s">
        <v>105</v>
      </c>
      <c r="N81" s="152"/>
      <c r="O81" s="574">
        <f>O72*seven_months</f>
        <v>3039318.0131772156</v>
      </c>
      <c r="P81" s="152">
        <f t="shared" ref="P81:Y85" si="14">P72</f>
        <v>5596434.8976499513</v>
      </c>
      <c r="Q81" s="152">
        <f t="shared" si="14"/>
        <v>5709649.8565609362</v>
      </c>
      <c r="R81" s="152">
        <f t="shared" si="14"/>
        <v>5829518.7065951591</v>
      </c>
      <c r="S81" s="152">
        <f t="shared" si="14"/>
        <v>5951732.6753231259</v>
      </c>
      <c r="T81" s="152">
        <f t="shared" si="14"/>
        <v>6172367.3077930762</v>
      </c>
      <c r="U81" s="152">
        <f t="shared" si="14"/>
        <v>6326209.3173166467</v>
      </c>
      <c r="V81" s="152">
        <f t="shared" si="14"/>
        <v>6484080.6571950316</v>
      </c>
      <c r="W81" s="152">
        <f t="shared" si="14"/>
        <v>6645663.0523346672</v>
      </c>
      <c r="X81" s="152">
        <f t="shared" si="14"/>
        <v>6811404.9660302084</v>
      </c>
      <c r="Y81" s="152">
        <f t="shared" si="14"/>
        <v>40484778.481727645</v>
      </c>
    </row>
    <row r="82" spans="7:25">
      <c r="G82" s="103" t="s">
        <v>104</v>
      </c>
      <c r="N82" s="152"/>
      <c r="O82" s="574">
        <f>O73*seven_months</f>
        <v>1919789.8367984639</v>
      </c>
      <c r="P82" s="152">
        <f t="shared" si="14"/>
        <v>3391176.1483965712</v>
      </c>
      <c r="Q82" s="152">
        <f t="shared" si="14"/>
        <v>3432076.8205038332</v>
      </c>
      <c r="R82" s="152">
        <f t="shared" si="14"/>
        <v>3458236.4356923513</v>
      </c>
      <c r="S82" s="152">
        <f t="shared" si="14"/>
        <v>3483438.7123073898</v>
      </c>
      <c r="T82" s="152">
        <f t="shared" si="14"/>
        <v>3347423.7475043302</v>
      </c>
      <c r="U82" s="152">
        <f t="shared" si="14"/>
        <v>3320394.2327616331</v>
      </c>
      <c r="V82" s="152">
        <f t="shared" si="14"/>
        <v>3299486.1297683124</v>
      </c>
      <c r="W82" s="152">
        <f t="shared" si="14"/>
        <v>3286342.588560258</v>
      </c>
      <c r="X82" s="152">
        <f t="shared" si="14"/>
        <v>3278885.4800060648</v>
      </c>
      <c r="Y82" s="152">
        <f t="shared" si="14"/>
        <v>16108109.345291743</v>
      </c>
    </row>
    <row r="83" spans="7:25">
      <c r="G83" s="103" t="s">
        <v>283</v>
      </c>
      <c r="N83" s="152"/>
      <c r="O83" s="574">
        <f>O74*seven_months</f>
        <v>6515936.1920154607</v>
      </c>
      <c r="P83" s="152">
        <f t="shared" si="14"/>
        <v>10989938.436654063</v>
      </c>
      <c r="Q83" s="152">
        <f t="shared" si="14"/>
        <v>10787448.882705238</v>
      </c>
      <c r="R83" s="152">
        <f t="shared" si="14"/>
        <v>10579858.235316234</v>
      </c>
      <c r="S83" s="152">
        <f t="shared" si="14"/>
        <v>10370057.787586968</v>
      </c>
      <c r="T83" s="152">
        <f t="shared" si="14"/>
        <v>10164683.154239194</v>
      </c>
      <c r="U83" s="152">
        <f t="shared" si="14"/>
        <v>9964198.4762314558</v>
      </c>
      <c r="V83" s="152">
        <f t="shared" si="14"/>
        <v>9762603.1571746226</v>
      </c>
      <c r="W83" s="152">
        <f t="shared" si="14"/>
        <v>9558847.776919784</v>
      </c>
      <c r="X83" s="152">
        <f t="shared" si="14"/>
        <v>9351909.1651998907</v>
      </c>
      <c r="Y83" s="152">
        <f t="shared" si="14"/>
        <v>44222378.399770044</v>
      </c>
    </row>
    <row r="84" spans="7:25" ht="14.25" customHeight="1">
      <c r="G84" s="103" t="s">
        <v>208</v>
      </c>
      <c r="N84" s="152"/>
      <c r="O84" s="574">
        <f>O75*seven_months</f>
        <v>-997479.8651460855</v>
      </c>
      <c r="P84" s="152">
        <f t="shared" si="14"/>
        <v>-1686459.4893193438</v>
      </c>
      <c r="Q84" s="152">
        <f t="shared" si="14"/>
        <v>-1658165.2189353479</v>
      </c>
      <c r="R84" s="152">
        <f t="shared" si="14"/>
        <v>-1628785.6849042503</v>
      </c>
      <c r="S84" s="152">
        <f t="shared" si="14"/>
        <v>-1600948.5811248464</v>
      </c>
      <c r="T84" s="152">
        <f t="shared" si="14"/>
        <v>-1870668.0278284892</v>
      </c>
      <c r="U84" s="152">
        <f t="shared" si="14"/>
        <v>-1838898.0168933473</v>
      </c>
      <c r="V84" s="152">
        <f t="shared" si="14"/>
        <v>-1806342.3446012912</v>
      </c>
      <c r="W84" s="152">
        <f t="shared" si="14"/>
        <v>-1772973.5867843239</v>
      </c>
      <c r="X84" s="152">
        <f t="shared" si="14"/>
        <v>-1738771.5186821704</v>
      </c>
      <c r="Y84" s="152">
        <f t="shared" si="14"/>
        <v>-8356977.5962910242</v>
      </c>
    </row>
    <row r="85" spans="7:25" ht="14.25" customHeight="1">
      <c r="G85" s="103" t="s">
        <v>207</v>
      </c>
      <c r="N85" s="152"/>
      <c r="O85" s="152">
        <f>O76</f>
        <v>-772890.00426793715</v>
      </c>
      <c r="P85" s="152">
        <f t="shared" si="14"/>
        <v>-772890.00426793715</v>
      </c>
      <c r="Q85" s="152">
        <f t="shared" si="14"/>
        <v>-772890.00426793715</v>
      </c>
      <c r="R85" s="152">
        <f t="shared" si="14"/>
        <v>-772890.00426793715</v>
      </c>
      <c r="S85" s="152">
        <f t="shared" si="14"/>
        <v>-772890.00426793715</v>
      </c>
      <c r="T85" s="152">
        <f t="shared" si="14"/>
        <v>0</v>
      </c>
      <c r="U85" s="152">
        <f t="shared" si="14"/>
        <v>0</v>
      </c>
      <c r="V85" s="152">
        <f t="shared" si="14"/>
        <v>0</v>
      </c>
      <c r="W85" s="152">
        <f t="shared" si="14"/>
        <v>0</v>
      </c>
      <c r="X85" s="152">
        <f t="shared" si="14"/>
        <v>0</v>
      </c>
      <c r="Y85" s="152">
        <f t="shared" si="14"/>
        <v>0</v>
      </c>
    </row>
    <row r="86" spans="7:25">
      <c r="G86" s="262" t="s">
        <v>141</v>
      </c>
      <c r="H86" s="261"/>
      <c r="I86" s="261"/>
      <c r="J86" s="261"/>
      <c r="K86" s="261"/>
      <c r="L86" s="261"/>
      <c r="M86" s="261"/>
      <c r="N86" s="166"/>
      <c r="O86" s="166">
        <f t="shared" ref="O86:Y86" si="15">SUM(O81:O85)</f>
        <v>9704674.1725771185</v>
      </c>
      <c r="P86" s="166">
        <f t="shared" si="15"/>
        <v>17518199.989113305</v>
      </c>
      <c r="Q86" s="166">
        <f t="shared" si="15"/>
        <v>17498120.33656672</v>
      </c>
      <c r="R86" s="166">
        <f t="shared" si="15"/>
        <v>17465937.688431557</v>
      </c>
      <c r="S86" s="166">
        <f t="shared" si="15"/>
        <v>17431390.589824699</v>
      </c>
      <c r="T86" s="166">
        <f t="shared" si="15"/>
        <v>17813806.181708112</v>
      </c>
      <c r="U86" s="166">
        <f t="shared" si="15"/>
        <v>17771904.00941639</v>
      </c>
      <c r="V86" s="166">
        <f t="shared" si="15"/>
        <v>17739827.599536676</v>
      </c>
      <c r="W86" s="166">
        <f t="shared" si="15"/>
        <v>17717879.831030384</v>
      </c>
      <c r="X86" s="166">
        <f t="shared" si="15"/>
        <v>17703428.092553992</v>
      </c>
      <c r="Y86" s="166">
        <f t="shared" si="15"/>
        <v>92458288.630498409</v>
      </c>
    </row>
  </sheetData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8"/>
    <pageSetUpPr fitToPage="1"/>
  </sheetPr>
  <dimension ref="A1:Y89"/>
  <sheetViews>
    <sheetView showGridLines="0" zoomScale="85" zoomScaleNormal="85" zoomScaleSheetLayoutView="70" workbookViewId="0">
      <pane ySplit="7" topLeftCell="A63" activePane="bottomLeft" state="frozen"/>
      <selection activeCell="E242" sqref="E242"/>
      <selection pane="bottomLeft" activeCell="O87" sqref="O87"/>
    </sheetView>
  </sheetViews>
  <sheetFormatPr defaultColWidth="0" defaultRowHeight="12.75" outlineLevelCol="1"/>
  <cols>
    <col min="1" max="5" width="1.7109375" bestFit="1" customWidth="1" outlineLevel="1"/>
    <col min="6" max="6" width="1.7109375" bestFit="1" customWidth="1"/>
    <col min="7" max="7" width="25.7109375" customWidth="1"/>
    <col min="8" max="8" width="1.7109375" customWidth="1"/>
    <col min="9" max="9" width="3.28515625" customWidth="1"/>
    <col min="10" max="10" width="2.42578125" bestFit="1" customWidth="1"/>
    <col min="11" max="12" width="7.28515625" bestFit="1" customWidth="1"/>
    <col min="13" max="13" width="7.85546875" bestFit="1" customWidth="1"/>
    <col min="14" max="16" width="9.140625" bestFit="1" customWidth="1"/>
    <col min="17" max="19" width="10.28515625" bestFit="1" customWidth="1"/>
    <col min="20" max="24" width="8.5703125" bestFit="1" customWidth="1"/>
    <col min="25" max="25" width="11.140625" style="344" bestFit="1" customWidth="1"/>
    <col min="26" max="16384" width="8.85546875" hidden="1"/>
  </cols>
  <sheetData>
    <row r="1" spans="1: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355"/>
    </row>
    <row r="2" spans="1:25" ht="21">
      <c r="A2" s="129"/>
      <c r="B2" s="129"/>
      <c r="C2" s="129"/>
      <c r="D2" s="129"/>
      <c r="E2" s="129"/>
      <c r="F2" s="129"/>
      <c r="G2" s="132" t="s">
        <v>27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355"/>
    </row>
    <row r="3" spans="1:25">
      <c r="A3" s="129"/>
      <c r="B3" s="129"/>
      <c r="C3" s="129"/>
      <c r="D3" s="129"/>
      <c r="E3" s="129"/>
      <c r="F3" s="129"/>
      <c r="G3" s="131">
        <v>0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55"/>
    </row>
    <row r="4" spans="1:25">
      <c r="A4" s="129"/>
      <c r="B4" s="129"/>
      <c r="C4" s="129"/>
      <c r="D4" s="129"/>
      <c r="E4" s="129"/>
      <c r="F4" s="129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355"/>
    </row>
    <row r="5" spans="1:25">
      <c r="A5" s="127">
        <v>1</v>
      </c>
      <c r="B5" s="127">
        <f t="shared" ref="B5:S5" si="0">A5+1</f>
        <v>2</v>
      </c>
      <c r="C5" s="127">
        <f t="shared" si="0"/>
        <v>3</v>
      </c>
      <c r="D5" s="127">
        <f t="shared" si="0"/>
        <v>4</v>
      </c>
      <c r="E5" s="127">
        <f t="shared" si="0"/>
        <v>5</v>
      </c>
      <c r="F5" s="127">
        <f t="shared" si="0"/>
        <v>6</v>
      </c>
      <c r="G5" s="127">
        <f t="shared" si="0"/>
        <v>7</v>
      </c>
      <c r="H5" s="127">
        <f t="shared" si="0"/>
        <v>8</v>
      </c>
      <c r="I5" s="127">
        <f t="shared" si="0"/>
        <v>9</v>
      </c>
      <c r="J5" s="127">
        <f t="shared" si="0"/>
        <v>10</v>
      </c>
      <c r="K5" s="127">
        <f t="shared" si="0"/>
        <v>11</v>
      </c>
      <c r="L5" s="127">
        <f t="shared" si="0"/>
        <v>12</v>
      </c>
      <c r="M5" s="127">
        <f t="shared" si="0"/>
        <v>13</v>
      </c>
      <c r="N5" s="127">
        <f t="shared" si="0"/>
        <v>14</v>
      </c>
      <c r="O5" s="127">
        <f t="shared" si="0"/>
        <v>15</v>
      </c>
      <c r="P5" s="127">
        <f t="shared" si="0"/>
        <v>16</v>
      </c>
      <c r="Q5" s="127">
        <f t="shared" si="0"/>
        <v>17</v>
      </c>
      <c r="R5" s="127">
        <f t="shared" si="0"/>
        <v>18</v>
      </c>
      <c r="S5" s="127">
        <f t="shared" si="0"/>
        <v>19</v>
      </c>
      <c r="T5" s="127">
        <f t="shared" ref="T5:Y5" si="1">S5+1</f>
        <v>20</v>
      </c>
      <c r="U5" s="127">
        <f t="shared" si="1"/>
        <v>21</v>
      </c>
      <c r="V5" s="127">
        <f t="shared" si="1"/>
        <v>22</v>
      </c>
      <c r="W5" s="127">
        <f t="shared" si="1"/>
        <v>23</v>
      </c>
      <c r="X5" s="127">
        <f t="shared" si="1"/>
        <v>24</v>
      </c>
      <c r="Y5" s="374">
        <f t="shared" si="1"/>
        <v>25</v>
      </c>
    </row>
    <row r="6" spans="1:25">
      <c r="A6" s="100"/>
      <c r="B6" s="100"/>
      <c r="C6" s="100"/>
      <c r="D6" s="100"/>
      <c r="E6" s="100"/>
      <c r="F6" s="100"/>
      <c r="G6" s="100"/>
      <c r="H6" s="100"/>
      <c r="I6" s="124"/>
      <c r="J6" s="100"/>
      <c r="K6" s="123">
        <f>'Volume &amp; CPI forecast'!K10</f>
        <v>39994</v>
      </c>
      <c r="L6" s="123">
        <f>'Volume &amp; CPI forecast'!L10</f>
        <v>40359</v>
      </c>
      <c r="M6" s="123">
        <f>'Volume &amp; CPI forecast'!M10</f>
        <v>40724</v>
      </c>
      <c r="N6" s="123">
        <f>'Volume &amp; CPI forecast'!N10</f>
        <v>41090</v>
      </c>
      <c r="O6" s="123">
        <f>'Volume &amp; CPI forecast'!O10</f>
        <v>41455</v>
      </c>
      <c r="P6" s="123">
        <f>'Volume &amp; CPI forecast'!P10</f>
        <v>41820</v>
      </c>
      <c r="Q6" s="123">
        <f>'Volume &amp; CPI forecast'!Q10</f>
        <v>42185</v>
      </c>
      <c r="R6" s="123">
        <f>'Volume &amp; CPI forecast'!R10</f>
        <v>42551</v>
      </c>
      <c r="S6" s="123">
        <f>'Volume &amp; CPI forecast'!S10</f>
        <v>42916</v>
      </c>
      <c r="T6" s="123">
        <f>'Volume &amp; CPI forecast'!T10</f>
        <v>43281</v>
      </c>
      <c r="U6" s="123">
        <f>'Volume &amp; CPI forecast'!U10</f>
        <v>43646</v>
      </c>
      <c r="V6" s="123">
        <f>'Volume &amp; CPI forecast'!V10</f>
        <v>44012</v>
      </c>
      <c r="W6" s="123">
        <f>'Volume &amp; CPI forecast'!W10</f>
        <v>44377</v>
      </c>
      <c r="X6" s="123">
        <f>'Volume &amp; CPI forecast'!X10</f>
        <v>44742</v>
      </c>
      <c r="Y6" s="342">
        <f>'Volume &amp; CPI forecast'!Y10</f>
        <v>45107</v>
      </c>
    </row>
    <row r="7" spans="1:25" ht="21">
      <c r="A7" s="100"/>
      <c r="B7" s="100"/>
      <c r="C7" s="100"/>
      <c r="D7" s="100"/>
      <c r="E7" s="100"/>
      <c r="F7" s="100" t="str">
        <f>IF(SUM(F12:F76)&lt;&gt;0,1," ")</f>
        <v xml:space="preserve"> </v>
      </c>
      <c r="G7" s="283" t="s">
        <v>7</v>
      </c>
      <c r="H7" s="44"/>
      <c r="I7" s="100"/>
      <c r="J7" s="100"/>
      <c r="K7" s="123" t="str">
        <f>'Volume &amp; CPI forecast'!K11</f>
        <v>Actual   $</v>
      </c>
      <c r="L7" s="123" t="str">
        <f>'Volume &amp; CPI forecast'!L11</f>
        <v>Actual   $</v>
      </c>
      <c r="M7" s="123" t="str">
        <f>'Volume &amp; CPI forecast'!M11</f>
        <v>Actual   $</v>
      </c>
      <c r="N7" s="123" t="str">
        <f>'Volume &amp; CPI forecast'!N11</f>
        <v>Bus Plan   $</v>
      </c>
      <c r="O7" s="123" t="str">
        <f>'Volume &amp; CPI forecast'!O11</f>
        <v>Bus Plan   $</v>
      </c>
      <c r="P7" s="123" t="str">
        <f>'Volume &amp; CPI forecast'!P11</f>
        <v>Bus Plan   $</v>
      </c>
      <c r="Q7" s="123" t="str">
        <f>'Volume &amp; CPI forecast'!Q11</f>
        <v>Forecast   $</v>
      </c>
      <c r="R7" s="123" t="str">
        <f>'Volume &amp; CPI forecast'!R11</f>
        <v>Forecast   $</v>
      </c>
      <c r="S7" s="123" t="str">
        <f>'Volume &amp; CPI forecast'!S11</f>
        <v>Forecast   $</v>
      </c>
      <c r="T7" s="123" t="str">
        <f>'Volume &amp; CPI forecast'!T11</f>
        <v>Forecast   $</v>
      </c>
      <c r="U7" s="123" t="str">
        <f>'Volume &amp; CPI forecast'!U11</f>
        <v>Forecast   $</v>
      </c>
      <c r="V7" s="123" t="str">
        <f>'Volume &amp; CPI forecast'!V11</f>
        <v>Forecast   $</v>
      </c>
      <c r="W7" s="123" t="str">
        <f>'Volume &amp; CPI forecast'!W11</f>
        <v>Forecast   $</v>
      </c>
      <c r="X7" s="123" t="str">
        <f>'Volume &amp; CPI forecast'!X11</f>
        <v>Forecast   $</v>
      </c>
      <c r="Y7" s="342" t="str">
        <f>'Volume &amp; CPI forecast'!Y11</f>
        <v>Terminal value</v>
      </c>
    </row>
    <row r="8" spans="1:25">
      <c r="A8" s="100"/>
      <c r="B8" s="100"/>
      <c r="C8" s="100"/>
      <c r="D8" s="100"/>
      <c r="E8" s="100"/>
      <c r="F8" s="100"/>
      <c r="G8" s="149" t="s">
        <v>179</v>
      </c>
      <c r="H8" s="100"/>
      <c r="I8" s="273"/>
      <c r="J8" s="100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375"/>
    </row>
    <row r="9" spans="1:25">
      <c r="A9" s="100"/>
      <c r="B9" s="100"/>
      <c r="C9" s="100"/>
      <c r="D9" s="100"/>
      <c r="E9" s="100"/>
      <c r="F9" s="100"/>
      <c r="G9" s="100" t="s">
        <v>78</v>
      </c>
      <c r="H9" s="106"/>
      <c r="I9" s="159"/>
      <c r="J9" s="100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377">
        <f>'Asset base'!X891</f>
        <v>2516201.6232439838</v>
      </c>
    </row>
    <row r="10" spans="1:25">
      <c r="A10" s="100"/>
      <c r="B10" s="100"/>
      <c r="C10" s="100"/>
      <c r="D10" s="100"/>
      <c r="E10" s="100"/>
      <c r="F10" s="100"/>
      <c r="G10" s="100" t="s">
        <v>180</v>
      </c>
      <c r="H10" s="106"/>
      <c r="I10" s="159"/>
      <c r="J10" s="100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377">
        <f>'Asset base'!X892</f>
        <v>50758963.072612599</v>
      </c>
    </row>
    <row r="11" spans="1:25">
      <c r="A11" s="100"/>
      <c r="B11" s="100"/>
      <c r="C11" s="100"/>
      <c r="D11" s="100"/>
      <c r="E11" s="100"/>
      <c r="F11" s="100"/>
      <c r="G11" s="100" t="s">
        <v>112</v>
      </c>
      <c r="H11" s="106"/>
      <c r="I11" s="159"/>
      <c r="J11" s="100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377">
        <f>'Asset base'!X893</f>
        <v>1300104.7448221021</v>
      </c>
    </row>
    <row r="12" spans="1:25">
      <c r="A12" s="100"/>
      <c r="B12" s="100"/>
      <c r="C12" s="100"/>
      <c r="D12" s="100"/>
      <c r="E12" s="100"/>
      <c r="F12" s="100"/>
      <c r="G12" s="44"/>
      <c r="H12" s="44"/>
      <c r="I12" s="100"/>
      <c r="J12" s="100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357"/>
    </row>
    <row r="13" spans="1:25" ht="15.75">
      <c r="A13" s="130"/>
      <c r="B13" s="130"/>
      <c r="C13" s="130"/>
      <c r="D13" s="130"/>
      <c r="E13" s="130"/>
      <c r="F13" s="130"/>
      <c r="G13" s="162" t="s">
        <v>124</v>
      </c>
      <c r="H13" s="161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359"/>
    </row>
    <row r="14" spans="1:25" ht="15.75">
      <c r="A14" s="100"/>
      <c r="B14" s="100"/>
      <c r="C14" s="100"/>
      <c r="D14" s="100"/>
      <c r="E14" s="100"/>
      <c r="F14" s="100"/>
      <c r="G14" s="89"/>
      <c r="H14" s="12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352"/>
    </row>
    <row r="15" spans="1:25">
      <c r="A15" s="100"/>
      <c r="B15" s="100"/>
      <c r="C15" s="100"/>
      <c r="D15" s="100"/>
      <c r="E15" s="100"/>
      <c r="F15" s="100"/>
      <c r="G15" s="149" t="s">
        <v>123</v>
      </c>
      <c r="H15" s="100"/>
      <c r="I15" s="100"/>
      <c r="J15" s="100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363"/>
    </row>
    <row r="16" spans="1:25">
      <c r="A16" s="100"/>
      <c r="B16" s="100"/>
      <c r="C16" s="100"/>
      <c r="D16" s="100"/>
      <c r="E16" s="100"/>
      <c r="F16" s="100"/>
      <c r="G16" s="100" t="s">
        <v>74</v>
      </c>
      <c r="H16" s="106"/>
      <c r="I16" s="159"/>
      <c r="J16" s="100"/>
      <c r="K16" s="268">
        <f>Opex!K171</f>
        <v>0</v>
      </c>
      <c r="L16" s="268">
        <f>Opex!L171</f>
        <v>0</v>
      </c>
      <c r="M16" s="268">
        <f>Opex!M171</f>
        <v>0</v>
      </c>
      <c r="N16" s="268">
        <f>Opex!N171</f>
        <v>913566.79930331488</v>
      </c>
      <c r="O16" s="268">
        <f>Opex!O171</f>
        <v>992945.49411151058</v>
      </c>
      <c r="P16" s="268">
        <f>Opex!P171</f>
        <v>1055947.8094537528</v>
      </c>
      <c r="Q16" s="268">
        <f>Opex!Q171</f>
        <v>1083721.4397820346</v>
      </c>
      <c r="R16" s="268">
        <f>Opex!R171</f>
        <v>1106479.590017457</v>
      </c>
      <c r="S16" s="268">
        <f>Opex!S171</f>
        <v>1129715.6614078239</v>
      </c>
      <c r="T16" s="268">
        <f>Opex!T171</f>
        <v>1157958.5529430194</v>
      </c>
      <c r="U16" s="268">
        <f>Opex!U171</f>
        <v>1186907.5167665947</v>
      </c>
      <c r="V16" s="268">
        <f>Opex!V171</f>
        <v>1216580.2046857595</v>
      </c>
      <c r="W16" s="268">
        <f>Opex!W171</f>
        <v>1246994.7098029035</v>
      </c>
      <c r="X16" s="268">
        <f>Opex!X171</f>
        <v>1278169.5775479758</v>
      </c>
      <c r="Y16" s="377">
        <f>Opex!Y171</f>
        <v>7595896.1653908603</v>
      </c>
    </row>
    <row r="17" spans="1:25">
      <c r="A17" s="100"/>
      <c r="B17" s="100"/>
      <c r="C17" s="100"/>
      <c r="D17" s="100"/>
      <c r="E17" s="100"/>
      <c r="F17" s="100"/>
      <c r="G17" s="100" t="s">
        <v>122</v>
      </c>
      <c r="H17" s="106"/>
      <c r="I17" s="159"/>
      <c r="J17" s="100"/>
      <c r="K17" s="268">
        <f>Opex!K172</f>
        <v>0</v>
      </c>
      <c r="L17" s="268">
        <f>Opex!L172</f>
        <v>0</v>
      </c>
      <c r="M17" s="268">
        <f>Opex!M172</f>
        <v>0</v>
      </c>
      <c r="N17" s="268">
        <f>Opex!N172</f>
        <v>16359.166973731621</v>
      </c>
      <c r="O17" s="268">
        <f>Opex!O172</f>
        <v>5063.9293218252033</v>
      </c>
      <c r="P17" s="268">
        <f>Opex!P172</f>
        <v>5551.0453960669947</v>
      </c>
      <c r="Q17" s="268">
        <f>Opex!Q172</f>
        <v>5749.6161761320836</v>
      </c>
      <c r="R17" s="268">
        <f>Opex!R172</f>
        <v>5918.3798815288765</v>
      </c>
      <c r="S17" s="268">
        <f>Opex!S172</f>
        <v>6126.8395732532272</v>
      </c>
      <c r="T17" s="268">
        <f>Opex!T172</f>
        <v>9970.7563591043163</v>
      </c>
      <c r="U17" s="268">
        <f>Opex!U172</f>
        <v>10270.641874978073</v>
      </c>
      <c r="V17" s="268">
        <f>Opex!V172</f>
        <v>10540.736968820913</v>
      </c>
      <c r="W17" s="268">
        <f>Opex!W172</f>
        <v>10759.505315966642</v>
      </c>
      <c r="X17" s="268">
        <f>Opex!X172</f>
        <v>10994.042312607562</v>
      </c>
      <c r="Y17" s="377">
        <f>Opex!Y172</f>
        <v>66769.549424425917</v>
      </c>
    </row>
    <row r="18" spans="1:25">
      <c r="A18" s="100"/>
      <c r="B18" s="100"/>
      <c r="C18" s="100"/>
      <c r="D18" s="100"/>
      <c r="E18" s="100"/>
      <c r="F18" s="100"/>
      <c r="G18" s="100" t="s">
        <v>121</v>
      </c>
      <c r="H18" s="106"/>
      <c r="I18" s="159"/>
      <c r="J18" s="100"/>
      <c r="K18" s="268">
        <f>Opex!K173</f>
        <v>0</v>
      </c>
      <c r="L18" s="268">
        <f>Opex!L173</f>
        <v>0</v>
      </c>
      <c r="M18" s="268">
        <f>Opex!M173</f>
        <v>0</v>
      </c>
      <c r="N18" s="268">
        <f>Opex!N173</f>
        <v>4452.4684715105668</v>
      </c>
      <c r="O18" s="268">
        <f>Opex!O173</f>
        <v>6856.0672278219672</v>
      </c>
      <c r="P18" s="268">
        <f>Opex!P173</f>
        <v>5639.7424473276496</v>
      </c>
      <c r="Q18" s="268">
        <f>Opex!Q173</f>
        <v>5602.6430885535001</v>
      </c>
      <c r="R18" s="268">
        <f>Opex!R173</f>
        <v>5658.5970177965628</v>
      </c>
      <c r="S18" s="268">
        <f>Opex!S173</f>
        <v>5713.8749322852364</v>
      </c>
      <c r="T18" s="268">
        <f>Opex!T173</f>
        <v>5820.3555824970281</v>
      </c>
      <c r="U18" s="268">
        <f>Opex!U173</f>
        <v>5928.4072622712538</v>
      </c>
      <c r="V18" s="268">
        <f>Opex!V173</f>
        <v>6038.0365177461917</v>
      </c>
      <c r="W18" s="268">
        <f>Opex!W173</f>
        <v>6149.2490768255475</v>
      </c>
      <c r="X18" s="268">
        <f>Opex!X173</f>
        <v>6262.0497992659584</v>
      </c>
      <c r="Y18" s="377">
        <f>Opex!Y173</f>
        <v>36969.63252884445</v>
      </c>
    </row>
    <row r="19" spans="1:25">
      <c r="A19" s="100"/>
      <c r="B19" s="100"/>
      <c r="C19" s="100"/>
      <c r="D19" s="100"/>
      <c r="E19" s="100"/>
      <c r="F19" s="100"/>
      <c r="G19" s="100" t="s">
        <v>120</v>
      </c>
      <c r="H19" s="106"/>
      <c r="I19" s="159"/>
      <c r="J19" s="100"/>
      <c r="K19" s="268">
        <f>Opex!K174</f>
        <v>0</v>
      </c>
      <c r="L19" s="268">
        <f>Opex!L174</f>
        <v>0</v>
      </c>
      <c r="M19" s="268">
        <f>Opex!M174</f>
        <v>0</v>
      </c>
      <c r="N19" s="268">
        <f>Opex!N174</f>
        <v>111935.26495050493</v>
      </c>
      <c r="O19" s="268">
        <f>Opex!O174</f>
        <v>130880.45447181362</v>
      </c>
      <c r="P19" s="268">
        <f>Opex!P174</f>
        <v>141789.54858034232</v>
      </c>
      <c r="Q19" s="268">
        <f>Opex!Q174</f>
        <v>146632.59404511823</v>
      </c>
      <c r="R19" s="268">
        <f>Opex!R174</f>
        <v>149711.87852006571</v>
      </c>
      <c r="S19" s="268">
        <f>Opex!S174</f>
        <v>152855.82796898705</v>
      </c>
      <c r="T19" s="268">
        <f>Opex!T174</f>
        <v>156677.22366821169</v>
      </c>
      <c r="U19" s="268">
        <f>Opex!U174</f>
        <v>160594.15425991701</v>
      </c>
      <c r="V19" s="268">
        <f>Opex!V174</f>
        <v>164609.00811641492</v>
      </c>
      <c r="W19" s="268">
        <f>Opex!W174</f>
        <v>168724.23331932526</v>
      </c>
      <c r="X19" s="268">
        <f>Opex!X174</f>
        <v>172942.33915230838</v>
      </c>
      <c r="Y19" s="377">
        <f>Opex!Y174</f>
        <v>1027760.3800591455</v>
      </c>
    </row>
    <row r="20" spans="1:25">
      <c r="A20" s="100"/>
      <c r="B20" s="100"/>
      <c r="C20" s="100"/>
      <c r="D20" s="100"/>
      <c r="E20" s="100"/>
      <c r="F20" s="100"/>
      <c r="G20" s="100" t="s">
        <v>119</v>
      </c>
      <c r="H20" s="106"/>
      <c r="I20" s="159"/>
      <c r="J20" s="100"/>
      <c r="K20" s="268">
        <f>Opex!K175</f>
        <v>0</v>
      </c>
      <c r="L20" s="268">
        <f>Opex!L175</f>
        <v>0</v>
      </c>
      <c r="M20" s="268">
        <f>Opex!M175</f>
        <v>0</v>
      </c>
      <c r="N20" s="268">
        <f>Opex!N175</f>
        <v>14107.625847939004</v>
      </c>
      <c r="O20" s="268">
        <f>Opex!O175</f>
        <v>13839.146100860806</v>
      </c>
      <c r="P20" s="268">
        <f>Opex!P175</f>
        <v>24278.600181172504</v>
      </c>
      <c r="Q20" s="268">
        <f>Opex!Q175</f>
        <v>23483.693781469487</v>
      </c>
      <c r="R20" s="268">
        <f>Opex!R175</f>
        <v>23976.851350880344</v>
      </c>
      <c r="S20" s="268">
        <f>Opex!S175</f>
        <v>24480.365229248826</v>
      </c>
      <c r="T20" s="268">
        <f>Opex!T175</f>
        <v>35846.479463769516</v>
      </c>
      <c r="U20" s="268">
        <f>Opex!U175</f>
        <v>36742.64145036375</v>
      </c>
      <c r="V20" s="268">
        <f>Opex!V175</f>
        <v>37661.20748662285</v>
      </c>
      <c r="W20" s="268">
        <f>Opex!W175</f>
        <v>38602.737673788419</v>
      </c>
      <c r="X20" s="268">
        <f>Opex!X175</f>
        <v>39567.806115633117</v>
      </c>
      <c r="Y20" s="377">
        <f>Opex!Y175</f>
        <v>235143.24861591813</v>
      </c>
    </row>
    <row r="21" spans="1:25">
      <c r="A21" s="100"/>
      <c r="B21" s="100"/>
      <c r="C21" s="100"/>
      <c r="D21" s="100"/>
      <c r="E21" s="100"/>
      <c r="F21" s="100"/>
      <c r="G21" s="100" t="s">
        <v>118</v>
      </c>
      <c r="H21" s="106"/>
      <c r="I21" s="159"/>
      <c r="J21" s="100"/>
      <c r="K21" s="268">
        <f>Opex!K176</f>
        <v>0</v>
      </c>
      <c r="L21" s="268">
        <f>Opex!L176</f>
        <v>0</v>
      </c>
      <c r="M21" s="268">
        <f>Opex!M176</f>
        <v>0</v>
      </c>
      <c r="N21" s="268">
        <f>Opex!N176</f>
        <v>48189.103410014643</v>
      </c>
      <c r="O21" s="268">
        <f>Opex!O176</f>
        <v>53859.414071366242</v>
      </c>
      <c r="P21" s="268">
        <f>Opex!P176</f>
        <v>60705.59737788199</v>
      </c>
      <c r="Q21" s="268">
        <f>Opex!Q176</f>
        <v>62535.671828558196</v>
      </c>
      <c r="R21" s="268">
        <f>Opex!R176</f>
        <v>63848.920936957911</v>
      </c>
      <c r="S21" s="268">
        <f>Opex!S176</f>
        <v>65189.748276634018</v>
      </c>
      <c r="T21" s="268">
        <f>Opex!T176</f>
        <v>66819.491983549859</v>
      </c>
      <c r="U21" s="268">
        <f>Opex!U176</f>
        <v>68489.9792831386</v>
      </c>
      <c r="V21" s="268">
        <f>Opex!V176</f>
        <v>70202.228765217063</v>
      </c>
      <c r="W21" s="268">
        <f>Opex!W176</f>
        <v>71957.284484347474</v>
      </c>
      <c r="X21" s="268">
        <f>Opex!X176</f>
        <v>73756.216596456157</v>
      </c>
      <c r="Y21" s="377">
        <f>Opex!Y176</f>
        <v>438317.86694025772</v>
      </c>
    </row>
    <row r="22" spans="1:25">
      <c r="A22" s="100"/>
      <c r="B22" s="100"/>
      <c r="C22" s="100"/>
      <c r="D22" s="100"/>
      <c r="E22" s="100"/>
      <c r="F22" s="100"/>
      <c r="G22" s="100" t="s">
        <v>117</v>
      </c>
      <c r="H22" s="106"/>
      <c r="I22" s="159"/>
      <c r="J22" s="100"/>
      <c r="K22" s="268">
        <f>Opex!K177</f>
        <v>0</v>
      </c>
      <c r="L22" s="268">
        <f>Opex!L177</f>
        <v>0</v>
      </c>
      <c r="M22" s="268">
        <f>Opex!M177</f>
        <v>0</v>
      </c>
      <c r="N22" s="268">
        <f>Opex!N177</f>
        <v>63326.88654941343</v>
      </c>
      <c r="O22" s="268">
        <f>Opex!O177</f>
        <v>79951.891902410469</v>
      </c>
      <c r="P22" s="268">
        <f>Opex!P177</f>
        <v>86337.671428877002</v>
      </c>
      <c r="Q22" s="268">
        <f>Opex!Q177</f>
        <v>88927.80157174333</v>
      </c>
      <c r="R22" s="268">
        <f>Opex!R177</f>
        <v>90795.285404749928</v>
      </c>
      <c r="S22" s="268">
        <f>Opex!S177</f>
        <v>92701.98639824969</v>
      </c>
      <c r="T22" s="268">
        <f>Opex!T177</f>
        <v>95019.536058205922</v>
      </c>
      <c r="U22" s="268">
        <f>Opex!U177</f>
        <v>97395.024459661043</v>
      </c>
      <c r="V22" s="268">
        <f>Opex!V177</f>
        <v>99829.900071152573</v>
      </c>
      <c r="W22" s="268">
        <f>Opex!W177</f>
        <v>102325.64757293137</v>
      </c>
      <c r="X22" s="268">
        <f>Opex!X177</f>
        <v>104883.78876225466</v>
      </c>
      <c r="Y22" s="377">
        <f>Opex!Y177</f>
        <v>623302.5592732603</v>
      </c>
    </row>
    <row r="23" spans="1:25">
      <c r="A23" s="100"/>
      <c r="B23" s="100"/>
      <c r="C23" s="100"/>
      <c r="D23" s="100"/>
      <c r="E23" s="100"/>
      <c r="F23" s="100"/>
      <c r="G23" s="100" t="s">
        <v>116</v>
      </c>
      <c r="H23" s="106"/>
      <c r="I23" s="159"/>
      <c r="J23" s="100"/>
      <c r="K23" s="268">
        <f>Opex!K178</f>
        <v>0</v>
      </c>
      <c r="L23" s="268">
        <f>Opex!L178</f>
        <v>0</v>
      </c>
      <c r="M23" s="268">
        <f>Opex!M178</f>
        <v>0</v>
      </c>
      <c r="N23" s="268">
        <f>Opex!N178</f>
        <v>16240.202613328183</v>
      </c>
      <c r="O23" s="268">
        <f>Opex!O178</f>
        <v>18127.349844257122</v>
      </c>
      <c r="P23" s="268">
        <f>Opex!P178</f>
        <v>19150.484131934398</v>
      </c>
      <c r="Q23" s="268">
        <f>Opex!Q178</f>
        <v>16095.247184915315</v>
      </c>
      <c r="R23" s="268">
        <f>Opex!R178</f>
        <v>16473.499408244323</v>
      </c>
      <c r="S23" s="268">
        <f>Opex!S178</f>
        <v>16859.695599629704</v>
      </c>
      <c r="T23" s="268">
        <f>Opex!T178</f>
        <v>17321.599066562845</v>
      </c>
      <c r="U23" s="268">
        <f>Opex!U178</f>
        <v>17795.209116402792</v>
      </c>
      <c r="V23" s="268">
        <f>Opex!V178</f>
        <v>18280.819039277067</v>
      </c>
      <c r="W23" s="268">
        <f>Opex!W178</f>
        <v>18778.729460027476</v>
      </c>
      <c r="X23" s="268">
        <f>Opex!X178</f>
        <v>19289.24852158772</v>
      </c>
      <c r="Y23" s="377">
        <f>Opex!Y178</f>
        <v>114870.93799202832</v>
      </c>
    </row>
    <row r="24" spans="1:25">
      <c r="A24" s="100"/>
      <c r="B24" s="100"/>
      <c r="C24" s="100"/>
      <c r="D24" s="100"/>
      <c r="E24" s="100"/>
      <c r="F24" s="100"/>
      <c r="G24" s="100" t="s">
        <v>115</v>
      </c>
      <c r="H24" s="106"/>
      <c r="I24" s="159"/>
      <c r="J24" s="100"/>
      <c r="K24" s="268">
        <f>Opex!K179</f>
        <v>0</v>
      </c>
      <c r="L24" s="268">
        <f>Opex!L179</f>
        <v>0</v>
      </c>
      <c r="M24" s="268">
        <f>Opex!M179</f>
        <v>0</v>
      </c>
      <c r="N24" s="268">
        <f>Opex!N179</f>
        <v>303673.94381646044</v>
      </c>
      <c r="O24" s="268">
        <f>Opex!O179</f>
        <v>281246.823037642</v>
      </c>
      <c r="P24" s="268">
        <f>Opex!P179</f>
        <v>277969.08477485203</v>
      </c>
      <c r="Q24" s="268">
        <f>Opex!Q179</f>
        <v>277243.15679721494</v>
      </c>
      <c r="R24" s="268">
        <f>Opex!R179</f>
        <v>283065.26308995648</v>
      </c>
      <c r="S24" s="268">
        <f>Opex!S179</f>
        <v>289009.63361484552</v>
      </c>
      <c r="T24" s="268">
        <f>Opex!T179</f>
        <v>296234.87445521663</v>
      </c>
      <c r="U24" s="268">
        <f>Opex!U179</f>
        <v>303640.74631659687</v>
      </c>
      <c r="V24" s="268">
        <f>Opex!V179</f>
        <v>311231.76497451181</v>
      </c>
      <c r="W24" s="268">
        <f>Opex!W179</f>
        <v>319012.55909887457</v>
      </c>
      <c r="X24" s="268">
        <f>Opex!X179</f>
        <v>326987.87307634635</v>
      </c>
      <c r="Y24" s="377">
        <f>Opex!Y179</f>
        <v>1943220.9738513397</v>
      </c>
    </row>
    <row r="25" spans="1: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377"/>
    </row>
    <row r="26" spans="1:25">
      <c r="A26" s="100"/>
      <c r="B26" s="100"/>
      <c r="C26" s="100"/>
      <c r="D26" s="100"/>
      <c r="E26" s="100"/>
      <c r="F26" s="100"/>
      <c r="G26" s="155" t="s">
        <v>114</v>
      </c>
      <c r="H26" s="157"/>
      <c r="I26" s="156"/>
      <c r="J26" s="155"/>
      <c r="K26" s="154">
        <f t="shared" ref="K26:S26" si="2">SUM(K16:K25)</f>
        <v>0</v>
      </c>
      <c r="L26" s="154">
        <f t="shared" si="2"/>
        <v>0</v>
      </c>
      <c r="M26" s="154">
        <f t="shared" si="2"/>
        <v>0</v>
      </c>
      <c r="N26" s="154">
        <f t="shared" si="2"/>
        <v>1491851.4619362175</v>
      </c>
      <c r="O26" s="154">
        <f t="shared" si="2"/>
        <v>1582770.5700895078</v>
      </c>
      <c r="P26" s="154">
        <f t="shared" si="2"/>
        <v>1677369.5837722076</v>
      </c>
      <c r="Q26" s="154">
        <f t="shared" si="2"/>
        <v>1709991.8642557396</v>
      </c>
      <c r="R26" s="154">
        <f t="shared" si="2"/>
        <v>1745928.2656276373</v>
      </c>
      <c r="S26" s="154">
        <f t="shared" si="2"/>
        <v>1782653.6330009568</v>
      </c>
      <c r="T26" s="154">
        <f t="shared" ref="T26:Y26" si="3">SUM(T16:T25)</f>
        <v>1841668.8695801373</v>
      </c>
      <c r="U26" s="154">
        <f t="shared" si="3"/>
        <v>1887764.3207899241</v>
      </c>
      <c r="V26" s="154">
        <f t="shared" si="3"/>
        <v>1934973.9066255232</v>
      </c>
      <c r="W26" s="154">
        <f t="shared" si="3"/>
        <v>1983304.6558049903</v>
      </c>
      <c r="X26" s="154">
        <f t="shared" si="3"/>
        <v>2032852.9418844362</v>
      </c>
      <c r="Y26" s="378">
        <f t="shared" si="3"/>
        <v>12082251.314076081</v>
      </c>
    </row>
    <row r="27" spans="1:25">
      <c r="A27" s="100"/>
      <c r="B27" s="100"/>
      <c r="C27" s="100"/>
      <c r="D27" s="100"/>
      <c r="E27" s="100"/>
      <c r="F27" s="100"/>
      <c r="G27" s="153"/>
      <c r="H27" s="100"/>
      <c r="I27" s="106"/>
      <c r="J27" s="100"/>
      <c r="K27" s="152"/>
      <c r="L27" s="15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352"/>
    </row>
    <row r="28" spans="1:25">
      <c r="A28" s="100"/>
      <c r="B28" s="100"/>
      <c r="C28" s="100"/>
      <c r="D28" s="100"/>
      <c r="E28" s="100"/>
      <c r="F28" s="100"/>
      <c r="G28" s="149" t="s">
        <v>113</v>
      </c>
      <c r="H28" s="100"/>
      <c r="I28" s="106"/>
      <c r="J28" s="100"/>
      <c r="K28" s="100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381"/>
    </row>
    <row r="29" spans="1:25">
      <c r="A29" s="100"/>
      <c r="B29" s="100"/>
      <c r="C29" s="100"/>
      <c r="D29" s="100"/>
      <c r="E29" s="100"/>
      <c r="F29" s="100"/>
      <c r="G29" s="100"/>
      <c r="H29" s="100"/>
      <c r="I29" s="106"/>
      <c r="J29" s="100"/>
      <c r="K29" s="152"/>
      <c r="L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377"/>
    </row>
    <row r="30" spans="1:25">
      <c r="A30" s="100"/>
      <c r="B30" s="100"/>
      <c r="C30" s="100"/>
      <c r="D30" s="100"/>
      <c r="E30" s="100"/>
      <c r="F30" s="100"/>
      <c r="G30" s="100" t="s">
        <v>112</v>
      </c>
      <c r="H30" s="100"/>
      <c r="I30" s="106"/>
      <c r="J30" s="100"/>
      <c r="K30" s="100"/>
      <c r="L30" s="269"/>
      <c r="M30" s="268">
        <f>'Asset base'!M786+'Asset base'!M795+'Asset base'!M804+'Asset base'!M813+'Asset base'!M822+'Asset base'!M831+'Asset base'!M840+'Asset base'!M849+'Asset base'!M858+'Asset base'!M867</f>
        <v>0</v>
      </c>
      <c r="N30" s="268">
        <f>'Asset base'!N786+'Asset base'!N795+'Asset base'!N804+'Asset base'!N813+'Asset base'!N822+'Asset base'!N831+'Asset base'!N840+'Asset base'!N849+'Asset base'!N858+'Asset base'!N867</f>
        <v>0</v>
      </c>
      <c r="O30" s="268">
        <f>'Asset base'!O786+'Asset base'!O795+'Asset base'!O804+'Asset base'!O813+'Asset base'!O822+'Asset base'!O831+'Asset base'!O840+'Asset base'!O849+'Asset base'!O858+'Asset base'!O867</f>
        <v>266428.66458329308</v>
      </c>
      <c r="P30" s="268">
        <f>'Asset base'!P786+'Asset base'!P795+'Asset base'!P804+'Asset base'!P813+'Asset base'!P822+'Asset base'!P831+'Asset base'!P840+'Asset base'!P849+'Asset base'!P858+'Asset base'!P867</f>
        <v>262611.19682566205</v>
      </c>
      <c r="Q30" s="268">
        <f>'Asset base'!Q786+'Asset base'!Q795+'Asset base'!Q804+'Asset base'!Q813+'Asset base'!Q822+'Asset base'!Q831+'Asset base'!Q840+'Asset base'!Q849+'Asset base'!Q858+'Asset base'!Q867</f>
        <v>258155.65893382757</v>
      </c>
      <c r="R30" s="268">
        <f>'Asset base'!R786+'Asset base'!R795+'Asset base'!R804+'Asset base'!R813+'Asset base'!R822+'Asset base'!R831+'Asset base'!R840+'Asset base'!R849+'Asset base'!R858+'Asset base'!R867</f>
        <v>253548.62741733124</v>
      </c>
      <c r="S30" s="268">
        <f>'Asset base'!S786+'Asset base'!S795+'Asset base'!S804+'Asset base'!S813+'Asset base'!S822+'Asset base'!S831+'Asset base'!S840+'Asset base'!S849+'Asset base'!S858+'Asset base'!S867</f>
        <v>249100.24540713645</v>
      </c>
      <c r="T30" s="268">
        <f>'Asset base'!T786+'Asset base'!T795+'Asset base'!T804+'Asset base'!T813+'Asset base'!T822+'Asset base'!T831+'Asset base'!T840+'Asset base'!T849+'Asset base'!T858+'Asset base'!T867</f>
        <v>290976.89844610955</v>
      </c>
      <c r="U30" s="268">
        <f>'Asset base'!U786+'Asset base'!U795+'Asset base'!U804+'Asset base'!U813+'Asset base'!U822+'Asset base'!U831+'Asset base'!U840+'Asset base'!U849+'Asset base'!U858+'Asset base'!U867</f>
        <v>286053.27284273307</v>
      </c>
      <c r="V30" s="268">
        <f>'Asset base'!V786+'Asset base'!V795+'Asset base'!V804+'Asset base'!V813+'Asset base'!V822+'Asset base'!V831+'Asset base'!V840+'Asset base'!V849+'Asset base'!V858+'Asset base'!V867</f>
        <v>281007.49718745443</v>
      </c>
      <c r="W30" s="268">
        <f>'Asset base'!W786+'Asset base'!W795+'Asset base'!W804+'Asset base'!W813+'Asset base'!W822+'Asset base'!W831+'Asset base'!W840+'Asset base'!W849+'Asset base'!W858+'Asset base'!W867</f>
        <v>275835.69807734154</v>
      </c>
      <c r="X30" s="268">
        <f>'Asset base'!X786+'Asset base'!X795+'Asset base'!X804+'Asset base'!X813+'Asset base'!X822+'Asset base'!X831+'Asset base'!X840+'Asset base'!X849+'Asset base'!X858+'Asset base'!X867</f>
        <v>270534.73909866199</v>
      </c>
      <c r="Y30" s="387">
        <f>Y11</f>
        <v>1300104.7448221021</v>
      </c>
    </row>
    <row r="31" spans="1:25">
      <c r="A31" s="100"/>
      <c r="B31" s="100"/>
      <c r="C31" s="100"/>
      <c r="D31" s="100"/>
      <c r="E31" s="100"/>
      <c r="F31" s="100"/>
      <c r="G31" s="149"/>
      <c r="H31" s="102"/>
      <c r="I31" s="106"/>
      <c r="J31" s="100"/>
      <c r="K31" s="100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381"/>
    </row>
    <row r="32" spans="1:25">
      <c r="A32" s="100"/>
      <c r="B32" s="100"/>
      <c r="C32" s="100"/>
      <c r="D32" s="100"/>
      <c r="E32" s="100"/>
      <c r="F32" s="100"/>
      <c r="G32" s="100" t="s">
        <v>129</v>
      </c>
      <c r="H32" s="100"/>
      <c r="I32" s="100"/>
      <c r="J32" s="100"/>
      <c r="K32" s="152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377"/>
    </row>
    <row r="33" spans="1:25">
      <c r="A33" s="100"/>
      <c r="B33" s="100"/>
      <c r="C33" s="100"/>
      <c r="D33" s="100"/>
      <c r="E33" s="100"/>
      <c r="F33" s="100"/>
      <c r="G33" s="100" t="s">
        <v>38</v>
      </c>
      <c r="H33" s="100"/>
      <c r="I33" s="100"/>
      <c r="J33" s="100"/>
      <c r="K33" s="152"/>
      <c r="L33" s="268"/>
      <c r="M33" s="268"/>
      <c r="N33" s="268">
        <f>'Asset base'!N785+'Asset base'!N787</f>
        <v>0</v>
      </c>
      <c r="O33" s="268">
        <f>'Asset base'!O785+'Asset base'!O787</f>
        <v>0</v>
      </c>
      <c r="P33" s="268">
        <f>'Asset base'!P785+'Asset base'!P787</f>
        <v>0</v>
      </c>
      <c r="Q33" s="268">
        <f>'Asset base'!Q785+'Asset base'!Q787</f>
        <v>0</v>
      </c>
      <c r="R33" s="268">
        <f>'Asset base'!R785+'Asset base'!R787</f>
        <v>0</v>
      </c>
      <c r="S33" s="268">
        <f>'Asset base'!S785+'Asset base'!S787</f>
        <v>0</v>
      </c>
      <c r="T33" s="268">
        <f>'Asset base'!T785+'Asset base'!T787</f>
        <v>0</v>
      </c>
      <c r="U33" s="268">
        <f>'Asset base'!U785+'Asset base'!U787</f>
        <v>0</v>
      </c>
      <c r="V33" s="268">
        <f>'Asset base'!V785+'Asset base'!V787</f>
        <v>0</v>
      </c>
      <c r="W33" s="268">
        <f>'Asset base'!W785+'Asset base'!W787</f>
        <v>0</v>
      </c>
      <c r="X33" s="268">
        <f>'Asset base'!X785+'Asset base'!X787</f>
        <v>0</v>
      </c>
      <c r="Y33" s="377"/>
    </row>
    <row r="34" spans="1:25">
      <c r="A34" s="100"/>
      <c r="B34" s="100"/>
      <c r="C34" s="100"/>
      <c r="D34" s="100"/>
      <c r="E34" s="100"/>
      <c r="F34" s="100"/>
      <c r="G34" s="100" t="s">
        <v>37</v>
      </c>
      <c r="H34" s="100"/>
      <c r="I34" s="100"/>
      <c r="J34" s="100"/>
      <c r="K34" s="152"/>
      <c r="L34" s="268"/>
      <c r="M34" s="268"/>
      <c r="N34" s="268">
        <f>'Asset base'!N794+'Asset base'!N796</f>
        <v>0</v>
      </c>
      <c r="O34" s="268">
        <f>'Asset base'!O794+'Asset base'!O796</f>
        <v>353.90293513789777</v>
      </c>
      <c r="P34" s="268">
        <f>'Asset base'!P794+'Asset base'!P796</f>
        <v>361.02926170583328</v>
      </c>
      <c r="Q34" s="268">
        <f>'Asset base'!Q794+'Asset base'!Q796</f>
        <v>360.98566110023398</v>
      </c>
      <c r="R34" s="268">
        <f>'Asset base'!R794+'Asset base'!R796</f>
        <v>360.94097127747557</v>
      </c>
      <c r="S34" s="268">
        <f>'Asset base'!S794+'Asset base'!S796</f>
        <v>360.88451583940275</v>
      </c>
      <c r="T34" s="268">
        <f>'Asset base'!T794+'Asset base'!T796</f>
        <v>362.12679953452368</v>
      </c>
      <c r="U34" s="268">
        <f>'Asset base'!U794+'Asset base'!U796</f>
        <v>362.02551362467591</v>
      </c>
      <c r="V34" s="268">
        <f>'Asset base'!V794+'Asset base'!V796</f>
        <v>361.85985972185102</v>
      </c>
      <c r="W34" s="268">
        <f>'Asset base'!W794+'Asset base'!W796</f>
        <v>361.60450593221782</v>
      </c>
      <c r="X34" s="268">
        <f>'Asset base'!X794+'Asset base'!X796</f>
        <v>361.15964073878018</v>
      </c>
      <c r="Y34" s="377"/>
    </row>
    <row r="35" spans="1:25">
      <c r="A35" s="100"/>
      <c r="B35" s="100"/>
      <c r="C35" s="100"/>
      <c r="D35" s="100"/>
      <c r="E35" s="100"/>
      <c r="F35" s="100"/>
      <c r="G35" s="100" t="s">
        <v>36</v>
      </c>
      <c r="H35" s="100"/>
      <c r="I35" s="100"/>
      <c r="J35" s="100"/>
      <c r="K35" s="152"/>
      <c r="L35" s="268"/>
      <c r="M35" s="268"/>
      <c r="N35" s="268">
        <f>'Asset base'!N803+'Asset base'!N805</f>
        <v>0</v>
      </c>
      <c r="O35" s="268">
        <f>'Asset base'!O803+'Asset base'!O805</f>
        <v>10392.811787742659</v>
      </c>
      <c r="P35" s="268">
        <f>'Asset base'!P803+'Asset base'!P805</f>
        <v>14878.454436588914</v>
      </c>
      <c r="Q35" s="268">
        <f>'Asset base'!Q803+'Asset base'!Q805</f>
        <v>20686.878056334044</v>
      </c>
      <c r="R35" s="268">
        <f>'Asset base'!R803+'Asset base'!R805</f>
        <v>24304.753124786839</v>
      </c>
      <c r="S35" s="268">
        <f>'Asset base'!S803+'Asset base'!S805</f>
        <v>29050.120629874742</v>
      </c>
      <c r="T35" s="268">
        <f>'Asset base'!T803+'Asset base'!T805</f>
        <v>17755.344793955574</v>
      </c>
      <c r="U35" s="268">
        <f>'Asset base'!U803+'Asset base'!U805</f>
        <v>12211.889526618144</v>
      </c>
      <c r="V35" s="268">
        <f>'Asset base'!V803+'Asset base'!V805</f>
        <v>7508.4206616525389</v>
      </c>
      <c r="W35" s="268">
        <f>'Asset base'!W803+'Asset base'!W805</f>
        <v>4399.3482466943096</v>
      </c>
      <c r="X35" s="268">
        <f>'Asset base'!X803+'Asset base'!X805</f>
        <v>2501.7466020538486</v>
      </c>
      <c r="Y35" s="377"/>
    </row>
    <row r="36" spans="1:25">
      <c r="A36" s="100"/>
      <c r="B36" s="100"/>
      <c r="C36" s="100"/>
      <c r="D36" s="100"/>
      <c r="E36" s="100"/>
      <c r="F36" s="100"/>
      <c r="G36" s="100" t="s">
        <v>35</v>
      </c>
      <c r="H36" s="100"/>
      <c r="I36" s="100"/>
      <c r="J36" s="100"/>
      <c r="K36" s="152"/>
      <c r="L36" s="268"/>
      <c r="M36" s="268"/>
      <c r="N36" s="268">
        <f>'Asset base'!N812+'Asset base'!N814</f>
        <v>0</v>
      </c>
      <c r="O36" s="268">
        <f>'Asset base'!O812+'Asset base'!O814</f>
        <v>0</v>
      </c>
      <c r="P36" s="268">
        <f>'Asset base'!P812+'Asset base'!P814</f>
        <v>0</v>
      </c>
      <c r="Q36" s="268">
        <f>'Asset base'!Q812+'Asset base'!Q814</f>
        <v>0</v>
      </c>
      <c r="R36" s="268">
        <f>'Asset base'!R812+'Asset base'!R814</f>
        <v>0</v>
      </c>
      <c r="S36" s="268">
        <f>'Asset base'!S812+'Asset base'!S814</f>
        <v>0</v>
      </c>
      <c r="T36" s="268">
        <f>'Asset base'!T812+'Asset base'!T814</f>
        <v>0</v>
      </c>
      <c r="U36" s="268">
        <f>'Asset base'!U812+'Asset base'!U814</f>
        <v>0</v>
      </c>
      <c r="V36" s="268">
        <f>'Asset base'!V812+'Asset base'!V814</f>
        <v>0</v>
      </c>
      <c r="W36" s="268">
        <f>'Asset base'!W812+'Asset base'!W814</f>
        <v>0</v>
      </c>
      <c r="X36" s="268">
        <f>'Asset base'!X812+'Asset base'!X814</f>
        <v>0</v>
      </c>
      <c r="Y36" s="377"/>
    </row>
    <row r="37" spans="1:25">
      <c r="A37" s="100"/>
      <c r="B37" s="100"/>
      <c r="C37" s="100"/>
      <c r="D37" s="100"/>
      <c r="E37" s="100"/>
      <c r="F37" s="100"/>
      <c r="G37" s="100" t="s">
        <v>34</v>
      </c>
      <c r="H37" s="100"/>
      <c r="I37" s="100"/>
      <c r="J37" s="100"/>
      <c r="K37" s="152"/>
      <c r="L37" s="268"/>
      <c r="M37" s="268"/>
      <c r="N37" s="268">
        <f>'Asset base'!N821+'Asset base'!N823</f>
        <v>0</v>
      </c>
      <c r="O37" s="268">
        <f>'Asset base'!O821+'Asset base'!O823</f>
        <v>5269.0305762119806</v>
      </c>
      <c r="P37" s="268">
        <f>'Asset base'!P821+'Asset base'!P823</f>
        <v>6463.1324363993681</v>
      </c>
      <c r="Q37" s="268">
        <f>'Asset base'!Q821+'Asset base'!Q823</f>
        <v>7606.1515374314267</v>
      </c>
      <c r="R37" s="268">
        <f>'Asset base'!R821+'Asset base'!R823</f>
        <v>8742.1443570253741</v>
      </c>
      <c r="S37" s="268">
        <f>'Asset base'!S821+'Asset base'!S823</f>
        <v>9892.2059598377746</v>
      </c>
      <c r="T37" s="268">
        <f>'Asset base'!T821+'Asset base'!T823</f>
        <v>9892.2059598377746</v>
      </c>
      <c r="U37" s="268">
        <f>'Asset base'!U821+'Asset base'!U823</f>
        <v>9892.2059598377746</v>
      </c>
      <c r="V37" s="268">
        <f>'Asset base'!V821+'Asset base'!V823</f>
        <v>9892.2059598377746</v>
      </c>
      <c r="W37" s="268">
        <f>'Asset base'!W821+'Asset base'!W823</f>
        <v>9892.2059598377746</v>
      </c>
      <c r="X37" s="268">
        <f>'Asset base'!X821+'Asset base'!X823</f>
        <v>9892.2059598377746</v>
      </c>
      <c r="Y37" s="377"/>
    </row>
    <row r="38" spans="1:25">
      <c r="A38" s="100"/>
      <c r="B38" s="100"/>
      <c r="C38" s="100"/>
      <c r="D38" s="100"/>
      <c r="E38" s="100"/>
      <c r="F38" s="100"/>
      <c r="G38" s="100" t="s">
        <v>33</v>
      </c>
      <c r="H38" s="100"/>
      <c r="I38" s="100"/>
      <c r="J38" s="100"/>
      <c r="K38" s="152"/>
      <c r="L38" s="268"/>
      <c r="M38" s="268"/>
      <c r="N38" s="268">
        <f>'Asset base'!N830+'Asset base'!N832</f>
        <v>0</v>
      </c>
      <c r="O38" s="268">
        <f>'Asset base'!O830+'Asset base'!O832</f>
        <v>0</v>
      </c>
      <c r="P38" s="268">
        <f>'Asset base'!P830+'Asset base'!P832</f>
        <v>0</v>
      </c>
      <c r="Q38" s="268">
        <f>'Asset base'!Q830+'Asset base'!Q832</f>
        <v>0</v>
      </c>
      <c r="R38" s="268">
        <f>'Asset base'!R830+'Asset base'!R832</f>
        <v>0</v>
      </c>
      <c r="S38" s="268">
        <f>'Asset base'!S830+'Asset base'!S832</f>
        <v>0</v>
      </c>
      <c r="T38" s="268">
        <f>'Asset base'!T830+'Asset base'!T832</f>
        <v>0</v>
      </c>
      <c r="U38" s="268">
        <f>'Asset base'!U830+'Asset base'!U832</f>
        <v>0</v>
      </c>
      <c r="V38" s="268">
        <f>'Asset base'!V830+'Asset base'!V832</f>
        <v>0</v>
      </c>
      <c r="W38" s="268">
        <f>'Asset base'!W830+'Asset base'!W832</f>
        <v>0</v>
      </c>
      <c r="X38" s="268">
        <f>'Asset base'!X830+'Asset base'!X832</f>
        <v>0</v>
      </c>
      <c r="Y38" s="377"/>
    </row>
    <row r="39" spans="1:25">
      <c r="A39" s="100"/>
      <c r="B39" s="100"/>
      <c r="C39" s="100"/>
      <c r="D39" s="100"/>
      <c r="E39" s="100"/>
      <c r="F39" s="100"/>
      <c r="G39" s="100" t="s">
        <v>32</v>
      </c>
      <c r="H39" s="100"/>
      <c r="I39" s="100"/>
      <c r="J39" s="100"/>
      <c r="K39" s="152"/>
      <c r="L39" s="268"/>
      <c r="M39" s="268"/>
      <c r="N39" s="268">
        <f>'Asset base'!N839+'Asset base'!N841</f>
        <v>0</v>
      </c>
      <c r="O39" s="268">
        <f>'Asset base'!O839+'Asset base'!O841</f>
        <v>2585.2055007724775</v>
      </c>
      <c r="P39" s="268">
        <f>'Asset base'!P839+'Asset base'!P841</f>
        <v>3076.5209805569148</v>
      </c>
      <c r="Q39" s="268">
        <f>'Asset base'!Q839+'Asset base'!Q841</f>
        <v>3196.4015004801454</v>
      </c>
      <c r="R39" s="268">
        <f>'Asset base'!R839+'Asset base'!R841</f>
        <v>3332.6485883355444</v>
      </c>
      <c r="S39" s="268">
        <f>'Asset base'!S839+'Asset base'!S841</f>
        <v>3394.1800363761486</v>
      </c>
      <c r="T39" s="268">
        <f>'Asset base'!T839+'Asset base'!T841</f>
        <v>1991.0806814740142</v>
      </c>
      <c r="U39" s="268">
        <f>'Asset base'!U839+'Asset base'!U841</f>
        <v>1939.4956315984755</v>
      </c>
      <c r="V39" s="268">
        <f>'Asset base'!V839+'Asset base'!V841</f>
        <v>1939.1589411215757</v>
      </c>
      <c r="W39" s="268">
        <f>'Asset base'!W839+'Asset base'!W841</f>
        <v>1938.6042089764617</v>
      </c>
      <c r="X39" s="268">
        <f>'Asset base'!X839+'Asset base'!X841</f>
        <v>1937.8297523289916</v>
      </c>
      <c r="Y39" s="377"/>
    </row>
    <row r="40" spans="1:25">
      <c r="A40" s="100"/>
      <c r="B40" s="100"/>
      <c r="C40" s="100"/>
      <c r="D40" s="100"/>
      <c r="E40" s="100"/>
      <c r="F40" s="100"/>
      <c r="G40" s="100" t="s">
        <v>31</v>
      </c>
      <c r="H40" s="100"/>
      <c r="I40" s="100"/>
      <c r="J40" s="100"/>
      <c r="K40" s="152"/>
      <c r="L40" s="268"/>
      <c r="M40" s="268"/>
      <c r="N40" s="268">
        <f>'Asset base'!N848+'Asset base'!N850</f>
        <v>0</v>
      </c>
      <c r="O40" s="268">
        <f>'Asset base'!O848+'Asset base'!O850</f>
        <v>471125.07791117544</v>
      </c>
      <c r="P40" s="268">
        <f>'Asset base'!P848+'Asset base'!P850</f>
        <v>481544.43208120362</v>
      </c>
      <c r="Q40" s="268">
        <f>'Asset base'!Q848+'Asset base'!Q850</f>
        <v>482175.84627322684</v>
      </c>
      <c r="R40" s="268">
        <f>'Asset base'!R848+'Asset base'!R850</f>
        <v>482850.59635591513</v>
      </c>
      <c r="S40" s="268">
        <f>'Asset base'!S848+'Asset base'!S850</f>
        <v>483683.37600257876</v>
      </c>
      <c r="T40" s="268">
        <f>'Asset base'!T848+'Asset base'!T850</f>
        <v>485568.71510015713</v>
      </c>
      <c r="U40" s="268">
        <f>'Asset base'!U848+'Asset base'!U850</f>
        <v>485582.77790865593</v>
      </c>
      <c r="V40" s="268">
        <f>'Asset base'!V848+'Asset base'!V850</f>
        <v>485578.4427911258</v>
      </c>
      <c r="W40" s="268">
        <f>'Asset base'!W848+'Asset base'!W850</f>
        <v>485573.8485096136</v>
      </c>
      <c r="X40" s="268">
        <f>'Asset base'!X848+'Asset base'!X850</f>
        <v>485568.96181490878</v>
      </c>
      <c r="Y40" s="377"/>
    </row>
    <row r="41" spans="1:25">
      <c r="A41" s="100"/>
      <c r="B41" s="100"/>
      <c r="C41" s="100"/>
      <c r="D41" s="100"/>
      <c r="E41" s="100"/>
      <c r="F41" s="100"/>
      <c r="G41" s="100" t="s">
        <v>30</v>
      </c>
      <c r="H41" s="100"/>
      <c r="I41" s="100"/>
      <c r="J41" s="100"/>
      <c r="K41" s="152"/>
      <c r="L41" s="268"/>
      <c r="M41" s="268"/>
      <c r="N41" s="268">
        <f>'Asset base'!N857+'Asset base'!N859</f>
        <v>0</v>
      </c>
      <c r="O41" s="268">
        <f>'Asset base'!O857+'Asset base'!O859</f>
        <v>0</v>
      </c>
      <c r="P41" s="268">
        <f>'Asset base'!P857+'Asset base'!P859</f>
        <v>0</v>
      </c>
      <c r="Q41" s="268">
        <f>'Asset base'!Q857+'Asset base'!Q859</f>
        <v>0</v>
      </c>
      <c r="R41" s="268">
        <f>'Asset base'!R857+'Asset base'!R859</f>
        <v>0</v>
      </c>
      <c r="S41" s="268">
        <f>'Asset base'!S857+'Asset base'!S859</f>
        <v>0</v>
      </c>
      <c r="T41" s="268">
        <f>'Asset base'!T857+'Asset base'!T859</f>
        <v>0</v>
      </c>
      <c r="U41" s="268">
        <f>'Asset base'!U857+'Asset base'!U859</f>
        <v>0</v>
      </c>
      <c r="V41" s="268">
        <f>'Asset base'!V857+'Asset base'!V859</f>
        <v>0</v>
      </c>
      <c r="W41" s="268">
        <f>'Asset base'!W857+'Asset base'!W859</f>
        <v>0</v>
      </c>
      <c r="X41" s="268">
        <f>'Asset base'!X857+'Asset base'!X859</f>
        <v>0</v>
      </c>
      <c r="Y41" s="377"/>
    </row>
    <row r="42" spans="1:25">
      <c r="A42" s="100"/>
      <c r="B42" s="100"/>
      <c r="C42" s="100"/>
      <c r="D42" s="100"/>
      <c r="E42" s="100"/>
      <c r="F42" s="100"/>
      <c r="G42" s="100" t="s">
        <v>29</v>
      </c>
      <c r="H42" s="100"/>
      <c r="I42" s="100"/>
      <c r="J42" s="100"/>
      <c r="K42" s="152"/>
      <c r="L42" s="268"/>
      <c r="M42" s="268"/>
      <c r="N42" s="268">
        <f>'Asset base'!N866+'Asset base'!N868</f>
        <v>0</v>
      </c>
      <c r="O42" s="268">
        <f>'Asset base'!O866+'Asset base'!O868</f>
        <v>25.43778452860192</v>
      </c>
      <c r="P42" s="268">
        <f>'Asset base'!P866+'Asset base'!P868</f>
        <v>25.43778452860192</v>
      </c>
      <c r="Q42" s="268">
        <f>'Asset base'!Q866+'Asset base'!Q868</f>
        <v>25.43778452860192</v>
      </c>
      <c r="R42" s="268">
        <f>'Asset base'!R866+'Asset base'!R868</f>
        <v>25.43778452860192</v>
      </c>
      <c r="S42" s="268">
        <f>'Asset base'!S866+'Asset base'!S868</f>
        <v>0</v>
      </c>
      <c r="T42" s="268">
        <f>'Asset base'!T866+'Asset base'!T868</f>
        <v>0</v>
      </c>
      <c r="U42" s="268">
        <f>'Asset base'!U866+'Asset base'!U868</f>
        <v>0</v>
      </c>
      <c r="V42" s="268">
        <f>'Asset base'!V866+'Asset base'!V868</f>
        <v>0</v>
      </c>
      <c r="W42" s="268">
        <f>'Asset base'!W866+'Asset base'!W868</f>
        <v>0</v>
      </c>
      <c r="X42" s="268">
        <f>'Asset base'!X866+'Asset base'!X868</f>
        <v>0</v>
      </c>
      <c r="Y42" s="377"/>
    </row>
    <row r="43" spans="1:25">
      <c r="A43" s="100"/>
      <c r="B43" s="100"/>
      <c r="C43" s="100"/>
      <c r="D43" s="100"/>
      <c r="E43" s="100"/>
      <c r="F43" s="100"/>
      <c r="G43" s="100" t="s">
        <v>86</v>
      </c>
      <c r="H43" s="100"/>
      <c r="I43" s="100"/>
      <c r="J43" s="100"/>
      <c r="K43" s="152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377"/>
    </row>
    <row r="44" spans="1:25">
      <c r="A44" s="100"/>
      <c r="B44" s="100"/>
      <c r="C44" s="100"/>
      <c r="D44" s="100"/>
      <c r="E44" s="100"/>
      <c r="F44" s="100"/>
      <c r="G44" s="100" t="s">
        <v>85</v>
      </c>
      <c r="H44" s="100"/>
      <c r="I44" s="100"/>
      <c r="J44" s="100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363"/>
    </row>
    <row r="45" spans="1: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363"/>
    </row>
    <row r="46" spans="1:25">
      <c r="A46" s="100"/>
      <c r="B46" s="100"/>
      <c r="C46" s="100"/>
      <c r="D46" s="100"/>
      <c r="E46" s="100"/>
      <c r="F46" s="100"/>
      <c r="G46" s="100"/>
      <c r="H46" s="220"/>
      <c r="I46" s="220"/>
      <c r="J46" s="220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382"/>
    </row>
    <row r="47" spans="1:25">
      <c r="A47" s="100"/>
      <c r="B47" s="100"/>
      <c r="C47" s="100"/>
      <c r="D47" s="100"/>
      <c r="E47" s="100"/>
      <c r="F47" s="100"/>
      <c r="G47" s="200" t="s">
        <v>111</v>
      </c>
      <c r="H47" s="100"/>
      <c r="I47" s="100"/>
      <c r="J47" s="100"/>
      <c r="K47" s="152">
        <v>0</v>
      </c>
      <c r="L47" s="152">
        <v>0</v>
      </c>
      <c r="M47" s="152">
        <f t="shared" ref="M47:S47" si="4">SUM(M34:M46)</f>
        <v>0</v>
      </c>
      <c r="N47" s="152">
        <f t="shared" si="4"/>
        <v>0</v>
      </c>
      <c r="O47" s="152">
        <f t="shared" si="4"/>
        <v>489751.46649556904</v>
      </c>
      <c r="P47" s="152">
        <f t="shared" si="4"/>
        <v>506349.00698098325</v>
      </c>
      <c r="Q47" s="152">
        <f t="shared" si="4"/>
        <v>514051.70081310126</v>
      </c>
      <c r="R47" s="152">
        <f t="shared" si="4"/>
        <v>519616.52118186897</v>
      </c>
      <c r="S47" s="152">
        <f t="shared" si="4"/>
        <v>526380.7671445068</v>
      </c>
      <c r="T47" s="152">
        <f>SUM(T34:T46)</f>
        <v>515569.47333495901</v>
      </c>
      <c r="U47" s="152">
        <f>SUM(U34:U46)</f>
        <v>509988.39454033499</v>
      </c>
      <c r="V47" s="152">
        <f>SUM(V34:V46)</f>
        <v>505280.08821345953</v>
      </c>
      <c r="W47" s="152">
        <f>SUM(W34:W46)</f>
        <v>502165.61143105436</v>
      </c>
      <c r="X47" s="152">
        <f>SUM(X34:X46)</f>
        <v>500261.90376986819</v>
      </c>
      <c r="Y47" s="363">
        <f>Y9</f>
        <v>2516201.6232439838</v>
      </c>
    </row>
    <row r="48" spans="1:25">
      <c r="A48" s="100"/>
      <c r="B48" s="100"/>
      <c r="C48" s="100"/>
      <c r="D48" s="100"/>
      <c r="E48" s="100"/>
      <c r="F48" s="100"/>
      <c r="G48" s="149"/>
      <c r="H48" s="102"/>
      <c r="I48" s="106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352"/>
    </row>
    <row r="49" spans="1:25">
      <c r="A49" s="100"/>
      <c r="B49" s="100"/>
      <c r="C49" s="100"/>
      <c r="D49" s="100"/>
      <c r="E49" s="100"/>
      <c r="F49" s="100"/>
      <c r="G49" s="100"/>
      <c r="H49" s="102"/>
      <c r="I49" s="106"/>
      <c r="J49" s="100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363"/>
    </row>
    <row r="50" spans="1:25">
      <c r="A50" s="100"/>
      <c r="B50" s="100"/>
      <c r="C50" s="100"/>
      <c r="D50" s="100"/>
      <c r="E50" s="100"/>
      <c r="F50" s="100"/>
      <c r="G50" s="149"/>
      <c r="H50" s="102"/>
      <c r="I50" s="100"/>
      <c r="J50" s="100"/>
      <c r="K50" s="152"/>
      <c r="L50" s="152"/>
      <c r="M50" s="152"/>
      <c r="N50" s="152"/>
      <c r="O50" s="152"/>
      <c r="P50" s="100"/>
      <c r="Q50" s="100"/>
      <c r="R50" s="100"/>
      <c r="S50" s="100"/>
      <c r="T50" s="100"/>
      <c r="U50" s="100"/>
      <c r="V50" s="100"/>
      <c r="W50" s="100"/>
      <c r="X50" s="100"/>
      <c r="Y50" s="352"/>
    </row>
    <row r="51" spans="1:25">
      <c r="A51" s="100"/>
      <c r="B51" s="100"/>
      <c r="C51" s="100"/>
      <c r="D51" s="100"/>
      <c r="E51" s="100"/>
      <c r="F51" s="100"/>
      <c r="G51" s="103"/>
      <c r="H51" s="121"/>
      <c r="I51" s="165"/>
      <c r="J51" s="165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363"/>
    </row>
    <row r="52" spans="1:25" ht="15.75">
      <c r="A52" s="100"/>
      <c r="B52" s="100"/>
      <c r="C52" s="100"/>
      <c r="D52" s="100"/>
      <c r="E52" s="100"/>
      <c r="F52" s="100"/>
      <c r="G52" s="89" t="s">
        <v>110</v>
      </c>
      <c r="H52" s="121"/>
      <c r="I52" s="165"/>
      <c r="J52" s="165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377"/>
    </row>
    <row r="53" spans="1:25">
      <c r="A53" s="100"/>
      <c r="B53" s="100"/>
      <c r="C53" s="100"/>
      <c r="D53" s="100"/>
      <c r="E53" s="100"/>
      <c r="F53" s="100"/>
      <c r="G53" s="100" t="s">
        <v>38</v>
      </c>
      <c r="H53" s="152"/>
      <c r="I53" s="152"/>
      <c r="J53" s="100"/>
      <c r="K53" s="214"/>
      <c r="L53" s="214"/>
      <c r="M53" s="214"/>
      <c r="N53" s="214">
        <f>'Asset base'!N788</f>
        <v>21287</v>
      </c>
      <c r="O53" s="214">
        <f>'Asset base'!O788</f>
        <v>21734.027000000002</v>
      </c>
      <c r="P53" s="214">
        <f>'Asset base'!P788</f>
        <v>22190.441567000002</v>
      </c>
      <c r="Q53" s="214">
        <f>'Asset base'!Q788</f>
        <v>22656.440839907002</v>
      </c>
      <c r="R53" s="214">
        <f>'Asset base'!R788</f>
        <v>23132.226097545048</v>
      </c>
      <c r="S53" s="214">
        <f>'Asset base'!S788</f>
        <v>23618.002845593495</v>
      </c>
      <c r="T53" s="214">
        <f>'Asset base'!T788</f>
        <v>24208.452916733331</v>
      </c>
      <c r="U53" s="214">
        <f>'Asset base'!U788</f>
        <v>24813.664239651665</v>
      </c>
      <c r="V53" s="214">
        <f>'Asset base'!V788</f>
        <v>25434.005845642958</v>
      </c>
      <c r="W53" s="214">
        <f>'Asset base'!W788</f>
        <v>26069.855991784032</v>
      </c>
      <c r="X53" s="214">
        <f>'Asset base'!X788</f>
        <v>26721.602391578632</v>
      </c>
      <c r="Y53" s="380">
        <f>'Asset base'!Y788</f>
        <v>27389.642451368098</v>
      </c>
    </row>
    <row r="54" spans="1:25">
      <c r="A54" s="100"/>
      <c r="B54" s="100"/>
      <c r="C54" s="100"/>
      <c r="D54" s="100"/>
      <c r="E54" s="100"/>
      <c r="F54" s="100"/>
      <c r="G54" s="100" t="s">
        <v>37</v>
      </c>
      <c r="H54" s="152"/>
      <c r="I54" s="152"/>
      <c r="J54" s="100"/>
      <c r="K54" s="214"/>
      <c r="L54" s="214"/>
      <c r="M54" s="214"/>
      <c r="N54" s="214">
        <f>'Asset base'!N797</f>
        <v>3539.0293513789775</v>
      </c>
      <c r="O54" s="214">
        <f>'Asset base'!O797</f>
        <v>3259.4460326200383</v>
      </c>
      <c r="P54" s="214">
        <f>'Asset base'!P797</f>
        <v>2966.8651375992258</v>
      </c>
      <c r="Q54" s="214">
        <f>'Asset base'!Q797</f>
        <v>2668.1836443885759</v>
      </c>
      <c r="R54" s="214">
        <f>'Asset base'!R797</f>
        <v>2363.2745296432604</v>
      </c>
      <c r="S54" s="214">
        <f>'Asset base'!S797</f>
        <v>2052.0187789263659</v>
      </c>
      <c r="T54" s="214">
        <f>'Asset base'!T797</f>
        <v>1741.1924488650011</v>
      </c>
      <c r="U54" s="214">
        <f>'Asset base'!U797</f>
        <v>1422.6967464619502</v>
      </c>
      <c r="V54" s="214">
        <f>'Asset base'!V797</f>
        <v>1096.4043054016479</v>
      </c>
      <c r="W54" s="214">
        <f>'Asset base'!W797</f>
        <v>762.20990710447131</v>
      </c>
      <c r="X54" s="214">
        <f>'Asset base'!X797</f>
        <v>420.10551404330289</v>
      </c>
      <c r="Y54" s="380">
        <f>'Asset base'!Y797</f>
        <v>424.3206345437614</v>
      </c>
    </row>
    <row r="55" spans="1:25">
      <c r="A55" s="100"/>
      <c r="B55" s="100"/>
      <c r="C55" s="100"/>
      <c r="D55" s="100"/>
      <c r="E55" s="100"/>
      <c r="F55" s="100"/>
      <c r="G55" s="100" t="s">
        <v>36</v>
      </c>
      <c r="H55" s="152"/>
      <c r="I55" s="152"/>
      <c r="J55" s="100"/>
      <c r="K55" s="214"/>
      <c r="L55" s="214"/>
      <c r="M55" s="214"/>
      <c r="N55" s="214">
        <f>'Asset base'!N806</f>
        <v>26962.404147823356</v>
      </c>
      <c r="O55" s="214">
        <f>'Asset base'!O806</f>
        <v>40539.282618683501</v>
      </c>
      <c r="P55" s="214">
        <f>'Asset base'!P806</f>
        <v>46194.271392184841</v>
      </c>
      <c r="Q55" s="214">
        <f>'Asset base'!Q806</f>
        <v>52436.113824763845</v>
      </c>
      <c r="R55" s="214">
        <f>'Asset base'!R806</f>
        <v>43450.202522479296</v>
      </c>
      <c r="S55" s="214">
        <f>'Asset base'!S806</f>
        <v>52160.579136060158</v>
      </c>
      <c r="T55" s="214">
        <f>'Asset base'!T806</f>
        <v>34405.234342104581</v>
      </c>
      <c r="U55" s="214">
        <f>'Asset base'!U806</f>
        <v>22193.344815486438</v>
      </c>
      <c r="V55" s="214">
        <f>'Asset base'!V806</f>
        <v>14684.924153833899</v>
      </c>
      <c r="W55" s="214">
        <f>'Asset base'!W806</f>
        <v>10285.57590713959</v>
      </c>
      <c r="X55" s="214">
        <f>'Asset base'!X806</f>
        <v>7783.829305085741</v>
      </c>
      <c r="Y55" s="380">
        <f>'Asset base'!Y806</f>
        <v>5444.6750946850279</v>
      </c>
    </row>
    <row r="56" spans="1:25">
      <c r="A56" s="100"/>
      <c r="B56" s="100"/>
      <c r="C56" s="100"/>
      <c r="D56" s="100"/>
      <c r="E56" s="100"/>
      <c r="F56" s="100"/>
      <c r="G56" s="100" t="s">
        <v>35</v>
      </c>
      <c r="H56" s="152"/>
      <c r="I56" s="152"/>
      <c r="J56" s="100"/>
      <c r="K56" s="214"/>
      <c r="L56" s="214"/>
      <c r="M56" s="214"/>
      <c r="N56" s="214">
        <f>'Asset base'!N815</f>
        <v>0</v>
      </c>
      <c r="O56" s="214">
        <f>'Asset base'!O815</f>
        <v>0</v>
      </c>
      <c r="P56" s="214">
        <f>'Asset base'!P815</f>
        <v>0</v>
      </c>
      <c r="Q56" s="214">
        <f>'Asset base'!Q815</f>
        <v>0</v>
      </c>
      <c r="R56" s="214">
        <f>'Asset base'!R815</f>
        <v>0</v>
      </c>
      <c r="S56" s="214">
        <f>'Asset base'!S815</f>
        <v>0</v>
      </c>
      <c r="T56" s="214">
        <f>'Asset base'!T815</f>
        <v>0</v>
      </c>
      <c r="U56" s="214">
        <f>'Asset base'!U815</f>
        <v>0</v>
      </c>
      <c r="V56" s="214">
        <f>'Asset base'!V815</f>
        <v>0</v>
      </c>
      <c r="W56" s="214">
        <f>'Asset base'!W815</f>
        <v>0</v>
      </c>
      <c r="X56" s="214">
        <f>'Asset base'!X815</f>
        <v>0</v>
      </c>
      <c r="Y56" s="380">
        <f>'Asset base'!Y815</f>
        <v>0</v>
      </c>
    </row>
    <row r="57" spans="1:25">
      <c r="A57" s="100"/>
      <c r="B57" s="100"/>
      <c r="C57" s="100"/>
      <c r="D57" s="100"/>
      <c r="E57" s="100"/>
      <c r="F57" s="100"/>
      <c r="G57" s="100" t="s">
        <v>34</v>
      </c>
      <c r="H57" s="152"/>
      <c r="I57" s="152"/>
      <c r="J57" s="100"/>
      <c r="K57" s="214"/>
      <c r="L57" s="214"/>
      <c r="M57" s="214"/>
      <c r="N57" s="214">
        <f>'Asset base'!N824</f>
        <v>41333.054821975391</v>
      </c>
      <c r="O57" s="214">
        <f>'Asset base'!O824</f>
        <v>47421.27518590782</v>
      </c>
      <c r="P57" s="214">
        <f>'Asset base'!P824</f>
        <v>52899.161351382332</v>
      </c>
      <c r="Q57" s="214">
        <f>'Asset base'!Q824</f>
        <v>56723.200824271487</v>
      </c>
      <c r="R57" s="214">
        <f>'Asset base'!R824</f>
        <v>59340.984663185591</v>
      </c>
      <c r="S57" s="214">
        <f>'Asset base'!S824</f>
        <v>60949.394731471817</v>
      </c>
      <c r="T57" s="214">
        <f>'Asset base'!T824</f>
        <v>51057.188771634042</v>
      </c>
      <c r="U57" s="214">
        <f>'Asset base'!U824</f>
        <v>41164.982811796268</v>
      </c>
      <c r="V57" s="214">
        <f>'Asset base'!V824</f>
        <v>31272.776851958493</v>
      </c>
      <c r="W57" s="214">
        <f>'Asset base'!W824</f>
        <v>21380.570892120719</v>
      </c>
      <c r="X57" s="214">
        <f>'Asset base'!X824</f>
        <v>11488.364932282944</v>
      </c>
      <c r="Y57" s="380">
        <f>'Asset base'!Y824</f>
        <v>6865.1895486571502</v>
      </c>
    </row>
    <row r="58" spans="1:25">
      <c r="A58" s="100"/>
      <c r="B58" s="100"/>
      <c r="C58" s="100"/>
      <c r="D58" s="100"/>
      <c r="E58" s="100"/>
      <c r="F58" s="100"/>
      <c r="G58" s="100" t="s">
        <v>33</v>
      </c>
      <c r="H58" s="152"/>
      <c r="I58" s="152"/>
      <c r="J58" s="100"/>
      <c r="K58" s="214"/>
      <c r="L58" s="214"/>
      <c r="M58" s="214"/>
      <c r="N58" s="214">
        <f>'Asset base'!N833</f>
        <v>0</v>
      </c>
      <c r="O58" s="214">
        <f>'Asset base'!O833</f>
        <v>0</v>
      </c>
      <c r="P58" s="214">
        <f>'Asset base'!P833</f>
        <v>0</v>
      </c>
      <c r="Q58" s="214">
        <f>'Asset base'!Q833</f>
        <v>0</v>
      </c>
      <c r="R58" s="214">
        <f>'Asset base'!R833</f>
        <v>0</v>
      </c>
      <c r="S58" s="214">
        <f>'Asset base'!S833</f>
        <v>0</v>
      </c>
      <c r="T58" s="214">
        <f>'Asset base'!T833</f>
        <v>0</v>
      </c>
      <c r="U58" s="214">
        <f>'Asset base'!U833</f>
        <v>0</v>
      </c>
      <c r="V58" s="214">
        <f>'Asset base'!V833</f>
        <v>0</v>
      </c>
      <c r="W58" s="214">
        <f>'Asset base'!W833</f>
        <v>0</v>
      </c>
      <c r="X58" s="214">
        <f>'Asset base'!X833</f>
        <v>0</v>
      </c>
      <c r="Y58" s="380">
        <f>'Asset base'!Y833</f>
        <v>0</v>
      </c>
    </row>
    <row r="59" spans="1:25">
      <c r="A59" s="100"/>
      <c r="B59" s="100"/>
      <c r="C59" s="100"/>
      <c r="D59" s="100"/>
      <c r="E59" s="100"/>
      <c r="F59" s="100"/>
      <c r="G59" s="100" t="s">
        <v>32</v>
      </c>
      <c r="H59" s="152"/>
      <c r="I59" s="152"/>
      <c r="J59" s="100"/>
      <c r="K59" s="214"/>
      <c r="L59" s="214"/>
      <c r="M59" s="214"/>
      <c r="N59" s="214">
        <f>'Asset base'!N842</f>
        <v>3697.9924799267815</v>
      </c>
      <c r="O59" s="214">
        <f>'Asset base'!O842</f>
        <v>12331.434143855064</v>
      </c>
      <c r="P59" s="214">
        <f>'Asset base'!P842</f>
        <v>13708.479366387113</v>
      </c>
      <c r="Q59" s="214">
        <f>'Asset base'!Q842</f>
        <v>12327.826997732451</v>
      </c>
      <c r="R59" s="214">
        <f>'Asset base'!R842</f>
        <v>10816.990431323255</v>
      </c>
      <c r="S59" s="214">
        <f>'Asset base'!S842</f>
        <v>14807.394181518112</v>
      </c>
      <c r="T59" s="214">
        <f>'Asset base'!T842</f>
        <v>13186.498354582051</v>
      </c>
      <c r="U59" s="214">
        <f>'Asset base'!U842</f>
        <v>11576.665181848126</v>
      </c>
      <c r="V59" s="214">
        <f>'Asset base'!V842</f>
        <v>9926.9228702727542</v>
      </c>
      <c r="W59" s="214">
        <f>'Asset base'!W842</f>
        <v>8236.4917330531116</v>
      </c>
      <c r="X59" s="214">
        <f>'Asset base'!X842</f>
        <v>6504.5742740504484</v>
      </c>
      <c r="Y59" s="380">
        <f>'Asset base'!Y842</f>
        <v>5241.0227373417092</v>
      </c>
    </row>
    <row r="60" spans="1:25">
      <c r="A60" s="100"/>
      <c r="B60" s="100"/>
      <c r="C60" s="100"/>
      <c r="D60" s="100"/>
      <c r="E60" s="100"/>
      <c r="F60" s="100"/>
      <c r="G60" s="100" t="s">
        <v>31</v>
      </c>
      <c r="H60" s="152"/>
      <c r="I60" s="152"/>
      <c r="J60" s="100"/>
      <c r="K60" s="214"/>
      <c r="L60" s="214"/>
      <c r="M60" s="214"/>
      <c r="N60" s="214">
        <f>'Asset base'!N851</f>
        <v>12658555.244039794</v>
      </c>
      <c r="O60" s="214">
        <f>'Asset base'!O851</f>
        <v>12467970.179759813</v>
      </c>
      <c r="P60" s="214">
        <f>'Asset base'!P851</f>
        <v>12254260.829825563</v>
      </c>
      <c r="Q60" s="214">
        <f>'Asset base'!Q851</f>
        <v>12036091.711248031</v>
      </c>
      <c r="R60" s="214">
        <f>'Asset base'!R851</f>
        <v>11825603.956900366</v>
      </c>
      <c r="S60" s="214">
        <f>'Asset base'!S851</f>
        <v>11598598.522038342</v>
      </c>
      <c r="T60" s="214">
        <f>'Asset base'!T851</f>
        <v>11402994.769989142</v>
      </c>
      <c r="U60" s="214">
        <f>'Asset base'!U851</f>
        <v>11202486.861330215</v>
      </c>
      <c r="V60" s="214">
        <f>'Asset base'!V851</f>
        <v>10996970.590072343</v>
      </c>
      <c r="W60" s="214">
        <f>'Asset base'!W851</f>
        <v>10786321.006314538</v>
      </c>
      <c r="X60" s="214">
        <f>'Asset base'!X851</f>
        <v>10570410.069657493</v>
      </c>
      <c r="Y60" s="380">
        <f>'Asset base'!Y851</f>
        <v>10349810.104526302</v>
      </c>
    </row>
    <row r="61" spans="1:25">
      <c r="A61" s="100"/>
      <c r="B61" s="100"/>
      <c r="C61" s="100"/>
      <c r="D61" s="100"/>
      <c r="E61" s="100"/>
      <c r="F61" s="100"/>
      <c r="G61" s="100" t="s">
        <v>30</v>
      </c>
      <c r="H61" s="152"/>
      <c r="I61" s="152"/>
      <c r="J61" s="100"/>
      <c r="K61" s="214"/>
      <c r="L61" s="214"/>
      <c r="M61" s="214"/>
      <c r="N61" s="214">
        <f>'Asset base'!N860</f>
        <v>0</v>
      </c>
      <c r="O61" s="214">
        <f>'Asset base'!O860</f>
        <v>0</v>
      </c>
      <c r="P61" s="214">
        <f>'Asset base'!P860</f>
        <v>0</v>
      </c>
      <c r="Q61" s="214">
        <f>'Asset base'!Q860</f>
        <v>0</v>
      </c>
      <c r="R61" s="214">
        <f>'Asset base'!R860</f>
        <v>0</v>
      </c>
      <c r="S61" s="214">
        <f>'Asset base'!S860</f>
        <v>0</v>
      </c>
      <c r="T61" s="214">
        <f>'Asset base'!T860</f>
        <v>0</v>
      </c>
      <c r="U61" s="214">
        <f>'Asset base'!U860</f>
        <v>0</v>
      </c>
      <c r="V61" s="214">
        <f>'Asset base'!V860</f>
        <v>0</v>
      </c>
      <c r="W61" s="214">
        <f>'Asset base'!W860</f>
        <v>0</v>
      </c>
      <c r="X61" s="214">
        <f>'Asset base'!X860</f>
        <v>0</v>
      </c>
      <c r="Y61" s="380">
        <f>'Asset base'!Y860</f>
        <v>0</v>
      </c>
    </row>
    <row r="62" spans="1:25">
      <c r="A62" s="100"/>
      <c r="B62" s="100"/>
      <c r="C62" s="100"/>
      <c r="D62" s="100"/>
      <c r="E62" s="100"/>
      <c r="F62" s="100"/>
      <c r="G62" s="100" t="s">
        <v>29</v>
      </c>
      <c r="H62" s="152"/>
      <c r="I62" s="152"/>
      <c r="J62" s="100"/>
      <c r="K62" s="214"/>
      <c r="L62" s="214"/>
      <c r="M62" s="214"/>
      <c r="N62" s="214">
        <f>'Asset base'!N869</f>
        <v>101.75113811440768</v>
      </c>
      <c r="O62" s="214">
        <f>'Asset base'!O869</f>
        <v>76.313353585805757</v>
      </c>
      <c r="P62" s="214">
        <f>'Asset base'!P869</f>
        <v>50.875569057203833</v>
      </c>
      <c r="Q62" s="214">
        <f>'Asset base'!Q869</f>
        <v>25.437784528601913</v>
      </c>
      <c r="R62" s="214">
        <f>'Asset base'!R869</f>
        <v>0</v>
      </c>
      <c r="S62" s="214">
        <f>'Asset base'!S869</f>
        <v>0</v>
      </c>
      <c r="T62" s="214">
        <f>'Asset base'!T869</f>
        <v>0</v>
      </c>
      <c r="U62" s="214">
        <f>'Asset base'!U869</f>
        <v>0</v>
      </c>
      <c r="V62" s="214">
        <f>'Asset base'!V869</f>
        <v>0</v>
      </c>
      <c r="W62" s="214">
        <f>'Asset base'!W869</f>
        <v>0</v>
      </c>
      <c r="X62" s="214">
        <f>'Asset base'!X869</f>
        <v>0</v>
      </c>
      <c r="Y62" s="380">
        <f>'Asset base'!Y869</f>
        <v>0</v>
      </c>
    </row>
    <row r="63" spans="1:25">
      <c r="A63" s="100"/>
      <c r="B63" s="100"/>
      <c r="C63" s="100"/>
      <c r="D63" s="100"/>
      <c r="E63" s="100"/>
      <c r="F63" s="100"/>
      <c r="G63" s="220"/>
      <c r="H63" s="266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383"/>
    </row>
    <row r="64" spans="1:25">
      <c r="A64" s="100"/>
      <c r="B64" s="100"/>
      <c r="C64" s="100"/>
      <c r="D64" s="100"/>
      <c r="E64" s="100"/>
      <c r="F64" s="100"/>
      <c r="G64" s="100" t="s">
        <v>109</v>
      </c>
      <c r="H64" s="102"/>
      <c r="I64" s="100"/>
      <c r="J64" s="100"/>
      <c r="K64" s="152">
        <f t="shared" ref="K64:X64" si="5">SUM(K53:K63)</f>
        <v>0</v>
      </c>
      <c r="L64" s="152">
        <f t="shared" si="5"/>
        <v>0</v>
      </c>
      <c r="M64" s="152">
        <f t="shared" si="5"/>
        <v>0</v>
      </c>
      <c r="N64" s="152">
        <f t="shared" si="5"/>
        <v>12755476.475979013</v>
      </c>
      <c r="O64" s="152">
        <f t="shared" si="5"/>
        <v>12593331.958094465</v>
      </c>
      <c r="P64" s="152">
        <f t="shared" si="5"/>
        <v>12392270.924209174</v>
      </c>
      <c r="Q64" s="152">
        <f t="shared" si="5"/>
        <v>12182928.915163623</v>
      </c>
      <c r="R64" s="152">
        <f t="shared" si="5"/>
        <v>11964707.635144543</v>
      </c>
      <c r="S64" s="152">
        <f t="shared" si="5"/>
        <v>11752185.911711913</v>
      </c>
      <c r="T64" s="152">
        <f t="shared" si="5"/>
        <v>11527593.336823061</v>
      </c>
      <c r="U64" s="152">
        <f t="shared" si="5"/>
        <v>11303658.21512546</v>
      </c>
      <c r="V64" s="152">
        <f t="shared" si="5"/>
        <v>11079385.624099452</v>
      </c>
      <c r="W64" s="152">
        <f t="shared" si="5"/>
        <v>10853055.710745741</v>
      </c>
      <c r="X64" s="152">
        <f t="shared" si="5"/>
        <v>10623328.546074534</v>
      </c>
      <c r="Y64" s="363">
        <f>Y10</f>
        <v>50758963.072612599</v>
      </c>
    </row>
    <row r="65" spans="1:25">
      <c r="A65" s="100"/>
      <c r="B65" s="100"/>
      <c r="C65" s="100"/>
      <c r="D65" s="100"/>
      <c r="E65" s="100"/>
      <c r="F65" s="100"/>
      <c r="G65" s="134"/>
      <c r="H65" s="102"/>
      <c r="I65" s="100"/>
      <c r="J65" s="100"/>
      <c r="K65" s="263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363"/>
    </row>
    <row r="66" spans="1:25">
      <c r="A66" s="100"/>
      <c r="B66" s="100"/>
      <c r="C66" s="100"/>
      <c r="D66" s="100"/>
      <c r="E66" s="100"/>
      <c r="F66" s="100"/>
      <c r="G66" s="103" t="s">
        <v>108</v>
      </c>
      <c r="H66" s="102"/>
      <c r="I66" s="100"/>
      <c r="J66" s="100"/>
      <c r="K66" s="152">
        <f>K64</f>
        <v>0</v>
      </c>
      <c r="L66" s="152">
        <f t="shared" ref="L66:S66" si="6">AVERAGE(K64:L64)</f>
        <v>0</v>
      </c>
      <c r="M66" s="152">
        <f t="shared" si="6"/>
        <v>0</v>
      </c>
      <c r="N66" s="152">
        <f>AVERAGE(N64)</f>
        <v>12755476.475979013</v>
      </c>
      <c r="O66" s="152">
        <f t="shared" si="6"/>
        <v>12674404.217036739</v>
      </c>
      <c r="P66" s="152">
        <f t="shared" si="6"/>
        <v>12492801.44115182</v>
      </c>
      <c r="Q66" s="152">
        <f t="shared" si="6"/>
        <v>12287599.919686399</v>
      </c>
      <c r="R66" s="152">
        <f t="shared" si="6"/>
        <v>12073818.275154084</v>
      </c>
      <c r="S66" s="152">
        <f t="shared" si="6"/>
        <v>11858446.773428228</v>
      </c>
      <c r="T66" s="152">
        <f>AVERAGE(S64:T64)</f>
        <v>11639889.624267487</v>
      </c>
      <c r="U66" s="152">
        <f>AVERAGE(T64:U64)</f>
        <v>11415625.775974261</v>
      </c>
      <c r="V66" s="152">
        <f>AVERAGE(U64:V64)</f>
        <v>11191521.919612456</v>
      </c>
      <c r="W66" s="152">
        <f>AVERAGE(V64:W64)</f>
        <v>10966220.667422596</v>
      </c>
      <c r="X66" s="152">
        <f>AVERAGE(W64:X64)</f>
        <v>10738192.128410138</v>
      </c>
      <c r="Y66" s="363">
        <f>Y64</f>
        <v>50758963.072612599</v>
      </c>
    </row>
    <row r="67" spans="1:25">
      <c r="A67" s="100"/>
      <c r="B67" s="100"/>
      <c r="C67" s="100"/>
      <c r="D67" s="100"/>
      <c r="E67" s="100"/>
      <c r="F67" s="100"/>
      <c r="G67" s="103" t="s">
        <v>107</v>
      </c>
      <c r="H67" s="102"/>
      <c r="I67" s="100"/>
      <c r="J67" s="100"/>
      <c r="K67" s="277"/>
      <c r="L67" s="277"/>
      <c r="M67" s="276"/>
      <c r="N67" s="276">
        <f>WACC!N32</f>
        <v>0.13554266666666667</v>
      </c>
      <c r="O67" s="276">
        <f>WACC!O32</f>
        <v>0.13554266666666667</v>
      </c>
      <c r="P67" s="276">
        <f>WACC!P32</f>
        <v>0.13554266666666667</v>
      </c>
      <c r="Q67" s="276">
        <f>WACC!Q32</f>
        <v>0.13554266666666667</v>
      </c>
      <c r="R67" s="276">
        <f>WACC!R32</f>
        <v>0.13554266666666667</v>
      </c>
      <c r="S67" s="276">
        <f>WACC!S32</f>
        <v>0.13554266666666667</v>
      </c>
      <c r="T67" s="276">
        <f>WACC!T32</f>
        <v>0.13554266666666667</v>
      </c>
      <c r="U67" s="276">
        <f>WACC!U32</f>
        <v>0.13554266666666667</v>
      </c>
      <c r="V67" s="276">
        <f>WACC!V32</f>
        <v>0.13554266666666667</v>
      </c>
      <c r="W67" s="276">
        <f>WACC!W32</f>
        <v>0.13554266666666667</v>
      </c>
      <c r="X67" s="276">
        <f>WACC!X32</f>
        <v>0.13554266666666667</v>
      </c>
      <c r="Y67" s="386">
        <f>WACC!Y32</f>
        <v>0.13554266666666667</v>
      </c>
    </row>
    <row r="68" spans="1:25">
      <c r="A68" s="100"/>
      <c r="B68" s="100"/>
      <c r="C68" s="100"/>
      <c r="D68" s="100"/>
      <c r="E68" s="100"/>
      <c r="F68" s="100"/>
      <c r="G68" s="103" t="s">
        <v>106</v>
      </c>
      <c r="H68" s="102"/>
      <c r="I68" s="100"/>
      <c r="J68" s="100"/>
      <c r="K68" s="152">
        <f t="shared" ref="K68:S68" si="7">(K66*K67)</f>
        <v>0</v>
      </c>
      <c r="L68" s="152">
        <f t="shared" si="7"/>
        <v>0</v>
      </c>
      <c r="M68" s="152">
        <f t="shared" si="7"/>
        <v>0</v>
      </c>
      <c r="N68" s="152">
        <f t="shared" si="7"/>
        <v>1728911.2961581314</v>
      </c>
      <c r="O68" s="152">
        <f t="shared" si="7"/>
        <v>1717922.5459884051</v>
      </c>
      <c r="P68" s="152">
        <f t="shared" si="7"/>
        <v>1693307.6214708942</v>
      </c>
      <c r="Q68" s="152">
        <f t="shared" si="7"/>
        <v>1665494.0600474139</v>
      </c>
      <c r="R68" s="152">
        <f t="shared" si="7"/>
        <v>1636517.5258631185</v>
      </c>
      <c r="S68" s="152">
        <f t="shared" si="7"/>
        <v>1607325.4981951911</v>
      </c>
      <c r="T68" s="152">
        <f t="shared" ref="T68:Y68" si="8">(T66*T67)</f>
        <v>1577701.67937888</v>
      </c>
      <c r="U68" s="152">
        <f t="shared" si="8"/>
        <v>1547304.3593442873</v>
      </c>
      <c r="V68" s="152">
        <f t="shared" si="8"/>
        <v>1516928.7250427247</v>
      </c>
      <c r="W68" s="152">
        <f t="shared" si="8"/>
        <v>1486390.7925175719</v>
      </c>
      <c r="X68" s="152">
        <f t="shared" si="8"/>
        <v>1455483.1962637194</v>
      </c>
      <c r="Y68" s="363">
        <f t="shared" si="8"/>
        <v>6880005.2120967722</v>
      </c>
    </row>
    <row r="69" spans="1:25">
      <c r="A69" s="100"/>
      <c r="B69" s="100"/>
      <c r="C69" s="100"/>
      <c r="D69" s="100"/>
      <c r="E69" s="100"/>
      <c r="F69" s="100"/>
      <c r="G69" s="134"/>
      <c r="H69" s="102"/>
      <c r="I69" s="100"/>
      <c r="J69" s="100"/>
      <c r="K69" s="263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363"/>
    </row>
    <row r="70" spans="1:25">
      <c r="A70" s="100"/>
      <c r="B70" s="100"/>
      <c r="C70" s="100"/>
      <c r="D70" s="100"/>
      <c r="E70" s="100"/>
      <c r="F70" s="100"/>
      <c r="G70" s="100"/>
      <c r="H70" s="102"/>
      <c r="I70" s="100"/>
      <c r="J70" s="100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363"/>
    </row>
    <row r="71" spans="1:25" ht="15.75">
      <c r="A71" s="130"/>
      <c r="B71" s="130"/>
      <c r="C71" s="130"/>
      <c r="D71" s="130"/>
      <c r="E71" s="130"/>
      <c r="F71" s="130"/>
      <c r="G71" s="162" t="s">
        <v>144</v>
      </c>
      <c r="H71" s="161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359"/>
    </row>
    <row r="72" spans="1: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352"/>
    </row>
    <row r="73" spans="1: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352"/>
    </row>
    <row r="74" spans="1:25">
      <c r="A74" s="100"/>
      <c r="B74" s="100"/>
      <c r="C74" s="100"/>
      <c r="D74" s="100"/>
      <c r="E74" s="100"/>
      <c r="F74" t="s">
        <v>249</v>
      </c>
      <c r="G74" s="100"/>
      <c r="H74" s="102"/>
      <c r="I74" s="100"/>
      <c r="J74" s="100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363"/>
    </row>
    <row r="75" spans="1:25">
      <c r="A75" s="100"/>
      <c r="B75" s="100"/>
      <c r="C75" s="100"/>
      <c r="D75" s="100"/>
      <c r="E75" s="100"/>
      <c r="F75" s="100"/>
      <c r="G75" s="103" t="s">
        <v>105</v>
      </c>
      <c r="K75" s="152">
        <f t="shared" ref="K75:Y75" si="9">K26+K29</f>
        <v>0</v>
      </c>
      <c r="L75" s="152">
        <f t="shared" si="9"/>
        <v>0</v>
      </c>
      <c r="M75" s="152">
        <f t="shared" si="9"/>
        <v>0</v>
      </c>
      <c r="N75" s="152">
        <f t="shared" si="9"/>
        <v>1491851.4619362175</v>
      </c>
      <c r="O75" s="152">
        <f t="shared" si="9"/>
        <v>1582770.5700895078</v>
      </c>
      <c r="P75" s="152">
        <f t="shared" si="9"/>
        <v>1677369.5837722076</v>
      </c>
      <c r="Q75" s="152">
        <f t="shared" si="9"/>
        <v>1709991.8642557396</v>
      </c>
      <c r="R75" s="152">
        <f t="shared" si="9"/>
        <v>1745928.2656276373</v>
      </c>
      <c r="S75" s="152">
        <f t="shared" si="9"/>
        <v>1782653.6330009568</v>
      </c>
      <c r="T75" s="152">
        <f t="shared" si="9"/>
        <v>1841668.8695801373</v>
      </c>
      <c r="U75" s="152">
        <f t="shared" si="9"/>
        <v>1887764.3207899241</v>
      </c>
      <c r="V75" s="152">
        <f t="shared" si="9"/>
        <v>1934973.9066255232</v>
      </c>
      <c r="W75" s="152">
        <f t="shared" si="9"/>
        <v>1983304.6558049903</v>
      </c>
      <c r="X75" s="152">
        <f t="shared" si="9"/>
        <v>2032852.9418844362</v>
      </c>
      <c r="Y75" s="363">
        <f t="shared" si="9"/>
        <v>12082251.314076081</v>
      </c>
    </row>
    <row r="76" spans="1:25">
      <c r="A76" s="100"/>
      <c r="B76" s="100"/>
      <c r="C76" s="100"/>
      <c r="D76" s="100"/>
      <c r="E76" s="100"/>
      <c r="F76" s="100"/>
      <c r="G76" s="103" t="s">
        <v>104</v>
      </c>
      <c r="K76" s="164">
        <f t="shared" ref="K76:X76" si="10">K47</f>
        <v>0</v>
      </c>
      <c r="L76" s="164">
        <f t="shared" si="10"/>
        <v>0</v>
      </c>
      <c r="M76" s="152">
        <f t="shared" si="10"/>
        <v>0</v>
      </c>
      <c r="N76" s="152">
        <f t="shared" si="10"/>
        <v>0</v>
      </c>
      <c r="O76" s="152">
        <f t="shared" si="10"/>
        <v>489751.46649556904</v>
      </c>
      <c r="P76" s="152">
        <f t="shared" si="10"/>
        <v>506349.00698098325</v>
      </c>
      <c r="Q76" s="152">
        <f t="shared" si="10"/>
        <v>514051.70081310126</v>
      </c>
      <c r="R76" s="152">
        <f t="shared" si="10"/>
        <v>519616.52118186897</v>
      </c>
      <c r="S76" s="152">
        <f t="shared" si="10"/>
        <v>526380.7671445068</v>
      </c>
      <c r="T76" s="152">
        <f t="shared" si="10"/>
        <v>515569.47333495901</v>
      </c>
      <c r="U76" s="152">
        <f t="shared" si="10"/>
        <v>509988.39454033499</v>
      </c>
      <c r="V76" s="152">
        <f t="shared" si="10"/>
        <v>505280.08821345953</v>
      </c>
      <c r="W76" s="152">
        <f t="shared" si="10"/>
        <v>502165.61143105436</v>
      </c>
      <c r="X76" s="152">
        <f t="shared" si="10"/>
        <v>500261.90376986819</v>
      </c>
      <c r="Y76" s="363">
        <f>Y47</f>
        <v>2516201.6232439838</v>
      </c>
    </row>
    <row r="77" spans="1:25">
      <c r="G77" s="103" t="s">
        <v>282</v>
      </c>
      <c r="K77" s="286">
        <f t="shared" ref="K77:S77" si="11">K68</f>
        <v>0</v>
      </c>
      <c r="L77" s="286">
        <f t="shared" si="11"/>
        <v>0</v>
      </c>
      <c r="M77" s="152">
        <f t="shared" si="11"/>
        <v>0</v>
      </c>
      <c r="N77" s="152">
        <f t="shared" si="11"/>
        <v>1728911.2961581314</v>
      </c>
      <c r="O77" s="152">
        <f t="shared" si="11"/>
        <v>1717922.5459884051</v>
      </c>
      <c r="P77" s="152">
        <f t="shared" si="11"/>
        <v>1693307.6214708942</v>
      </c>
      <c r="Q77" s="152">
        <f t="shared" si="11"/>
        <v>1665494.0600474139</v>
      </c>
      <c r="R77" s="152">
        <f t="shared" si="11"/>
        <v>1636517.5258631185</v>
      </c>
      <c r="S77" s="152">
        <f t="shared" si="11"/>
        <v>1607325.4981951911</v>
      </c>
      <c r="T77" s="152">
        <f t="shared" ref="T77:Y77" si="12">T68</f>
        <v>1577701.67937888</v>
      </c>
      <c r="U77" s="152">
        <f t="shared" si="12"/>
        <v>1547304.3593442873</v>
      </c>
      <c r="V77" s="152">
        <f t="shared" si="12"/>
        <v>1516928.7250427247</v>
      </c>
      <c r="W77" s="152">
        <f t="shared" si="12"/>
        <v>1486390.7925175719</v>
      </c>
      <c r="X77" s="152">
        <f t="shared" si="12"/>
        <v>1455483.1962637194</v>
      </c>
      <c r="Y77" s="363">
        <f t="shared" si="12"/>
        <v>6880005.2120967722</v>
      </c>
    </row>
    <row r="78" spans="1:25">
      <c r="G78" s="103" t="s">
        <v>208</v>
      </c>
      <c r="M78" s="152">
        <f>-M30</f>
        <v>0</v>
      </c>
      <c r="N78" s="152">
        <f t="shared" ref="N78:X78" si="13">-N30</f>
        <v>0</v>
      </c>
      <c r="O78" s="152">
        <f t="shared" si="13"/>
        <v>-266428.66458329308</v>
      </c>
      <c r="P78" s="152">
        <f t="shared" si="13"/>
        <v>-262611.19682566205</v>
      </c>
      <c r="Q78" s="152">
        <f t="shared" si="13"/>
        <v>-258155.65893382757</v>
      </c>
      <c r="R78" s="152">
        <f t="shared" si="13"/>
        <v>-253548.62741733124</v>
      </c>
      <c r="S78" s="152">
        <f t="shared" si="13"/>
        <v>-249100.24540713645</v>
      </c>
      <c r="T78" s="152">
        <f t="shared" si="13"/>
        <v>-290976.89844610955</v>
      </c>
      <c r="U78" s="152">
        <f t="shared" si="13"/>
        <v>-286053.27284273307</v>
      </c>
      <c r="V78" s="152">
        <f t="shared" si="13"/>
        <v>-281007.49718745443</v>
      </c>
      <c r="W78" s="152">
        <f t="shared" si="13"/>
        <v>-275835.69807734154</v>
      </c>
      <c r="X78" s="152">
        <f t="shared" si="13"/>
        <v>-270534.73909866199</v>
      </c>
      <c r="Y78" s="363">
        <f>-Y30</f>
        <v>-1300104.7448221021</v>
      </c>
    </row>
    <row r="79" spans="1:25">
      <c r="G79" s="103" t="s">
        <v>207</v>
      </c>
      <c r="M79" s="152"/>
      <c r="N79" s="152">
        <f>-'09-12 revaluation booked income'!N20</f>
        <v>0</v>
      </c>
      <c r="O79" s="152">
        <f>-'09-12 revaluation booked income'!O20</f>
        <v>-766.53054105700573</v>
      </c>
      <c r="P79" s="152">
        <f>-'09-12 revaluation booked income'!P20</f>
        <v>-766.53054105700573</v>
      </c>
      <c r="Q79" s="152">
        <f>-'09-12 revaluation booked income'!Q20</f>
        <v>-766.53054105700573</v>
      </c>
      <c r="R79" s="152">
        <f>-'09-12 revaluation booked income'!R20</f>
        <v>-766.53054105700573</v>
      </c>
      <c r="S79" s="152">
        <f>-'09-12 revaluation booked income'!S20</f>
        <v>-766.53054105700573</v>
      </c>
      <c r="T79" s="152">
        <f>-'09-12 revaluation booked income'!T20</f>
        <v>0</v>
      </c>
      <c r="U79" s="152">
        <f>-'09-12 revaluation booked income'!U20</f>
        <v>0</v>
      </c>
      <c r="V79" s="152">
        <f>-'09-12 revaluation booked income'!V20</f>
        <v>0</v>
      </c>
      <c r="W79" s="152">
        <f>-'09-12 revaluation booked income'!W20</f>
        <v>0</v>
      </c>
      <c r="X79" s="152">
        <f>-'09-12 revaluation booked income'!X20</f>
        <v>0</v>
      </c>
      <c r="Y79" s="363"/>
    </row>
    <row r="80" spans="1:25">
      <c r="G80" s="262" t="s">
        <v>141</v>
      </c>
      <c r="H80" s="261"/>
      <c r="I80" s="261"/>
      <c r="J80" s="261"/>
      <c r="K80" s="261"/>
      <c r="L80" s="261"/>
      <c r="M80" s="166">
        <f>SUM(M75:M78)</f>
        <v>0</v>
      </c>
      <c r="N80" s="166">
        <f>SUM(N75:N79)</f>
        <v>3220762.7580943489</v>
      </c>
      <c r="O80" s="166">
        <f t="shared" ref="O80:Y80" si="14">SUM(O75:O79)</f>
        <v>3523249.3874491313</v>
      </c>
      <c r="P80" s="166">
        <f t="shared" si="14"/>
        <v>3613648.4848573655</v>
      </c>
      <c r="Q80" s="166">
        <f t="shared" si="14"/>
        <v>3630615.4356413702</v>
      </c>
      <c r="R80" s="166">
        <f t="shared" si="14"/>
        <v>3647747.1547142365</v>
      </c>
      <c r="S80" s="166">
        <f t="shared" si="14"/>
        <v>3666493.1223924607</v>
      </c>
      <c r="T80" s="166">
        <f t="shared" si="14"/>
        <v>3643963.1238478669</v>
      </c>
      <c r="U80" s="166">
        <f t="shared" si="14"/>
        <v>3659003.8018318131</v>
      </c>
      <c r="V80" s="166">
        <f t="shared" si="14"/>
        <v>3676175.2226942535</v>
      </c>
      <c r="W80" s="166">
        <f t="shared" si="14"/>
        <v>3696025.3616762748</v>
      </c>
      <c r="X80" s="166">
        <f t="shared" si="14"/>
        <v>3718063.3028193614</v>
      </c>
      <c r="Y80" s="166">
        <f t="shared" si="14"/>
        <v>20178353.404594734</v>
      </c>
    </row>
    <row r="83" spans="6:25">
      <c r="F83" t="s">
        <v>250</v>
      </c>
    </row>
    <row r="84" spans="6:25">
      <c r="G84" s="103" t="s">
        <v>105</v>
      </c>
      <c r="N84" s="152"/>
      <c r="O84" s="574">
        <f>O75*seven_months</f>
        <v>923282.83255221299</v>
      </c>
      <c r="P84" s="152">
        <f t="shared" ref="P84:Y88" si="15">P75</f>
        <v>1677369.5837722076</v>
      </c>
      <c r="Q84" s="152">
        <f t="shared" si="15"/>
        <v>1709991.8642557396</v>
      </c>
      <c r="R84" s="152">
        <f t="shared" si="15"/>
        <v>1745928.2656276373</v>
      </c>
      <c r="S84" s="152">
        <f t="shared" si="15"/>
        <v>1782653.6330009568</v>
      </c>
      <c r="T84" s="152">
        <f t="shared" si="15"/>
        <v>1841668.8695801373</v>
      </c>
      <c r="U84" s="152">
        <f t="shared" si="15"/>
        <v>1887764.3207899241</v>
      </c>
      <c r="V84" s="152">
        <f t="shared" si="15"/>
        <v>1934973.9066255232</v>
      </c>
      <c r="W84" s="152">
        <f t="shared" si="15"/>
        <v>1983304.6558049903</v>
      </c>
      <c r="X84" s="152">
        <f t="shared" si="15"/>
        <v>2032852.9418844362</v>
      </c>
      <c r="Y84" s="152">
        <f t="shared" si="15"/>
        <v>12082251.314076081</v>
      </c>
    </row>
    <row r="85" spans="6:25">
      <c r="G85" s="103" t="s">
        <v>104</v>
      </c>
      <c r="N85" s="152"/>
      <c r="O85" s="574">
        <f>O76*seven_months</f>
        <v>285688.35545574862</v>
      </c>
      <c r="P85" s="152">
        <f t="shared" si="15"/>
        <v>506349.00698098325</v>
      </c>
      <c r="Q85" s="152">
        <f t="shared" si="15"/>
        <v>514051.70081310126</v>
      </c>
      <c r="R85" s="152">
        <f t="shared" si="15"/>
        <v>519616.52118186897</v>
      </c>
      <c r="S85" s="152">
        <f t="shared" si="15"/>
        <v>526380.7671445068</v>
      </c>
      <c r="T85" s="152">
        <f t="shared" si="15"/>
        <v>515569.47333495901</v>
      </c>
      <c r="U85" s="152">
        <f t="shared" si="15"/>
        <v>509988.39454033499</v>
      </c>
      <c r="V85" s="152">
        <f t="shared" si="15"/>
        <v>505280.08821345953</v>
      </c>
      <c r="W85" s="152">
        <f t="shared" si="15"/>
        <v>502165.61143105436</v>
      </c>
      <c r="X85" s="152">
        <f t="shared" si="15"/>
        <v>500261.90376986819</v>
      </c>
      <c r="Y85" s="152">
        <f t="shared" si="15"/>
        <v>2516201.6232439838</v>
      </c>
    </row>
    <row r="86" spans="6:25">
      <c r="G86" s="103" t="s">
        <v>282</v>
      </c>
      <c r="N86" s="152"/>
      <c r="O86" s="574">
        <f>O77*seven_months</f>
        <v>1002121.4851599031</v>
      </c>
      <c r="P86" s="152">
        <f t="shared" si="15"/>
        <v>1693307.6214708942</v>
      </c>
      <c r="Q86" s="152">
        <f t="shared" si="15"/>
        <v>1665494.0600474139</v>
      </c>
      <c r="R86" s="152">
        <f t="shared" si="15"/>
        <v>1636517.5258631185</v>
      </c>
      <c r="S86" s="152">
        <f t="shared" si="15"/>
        <v>1607325.4981951911</v>
      </c>
      <c r="T86" s="152">
        <f t="shared" si="15"/>
        <v>1577701.67937888</v>
      </c>
      <c r="U86" s="152">
        <f t="shared" si="15"/>
        <v>1547304.3593442873</v>
      </c>
      <c r="V86" s="152">
        <f t="shared" si="15"/>
        <v>1516928.7250427247</v>
      </c>
      <c r="W86" s="152">
        <f t="shared" si="15"/>
        <v>1486390.7925175719</v>
      </c>
      <c r="X86" s="152">
        <f t="shared" si="15"/>
        <v>1455483.1962637194</v>
      </c>
      <c r="Y86" s="152">
        <f t="shared" si="15"/>
        <v>6880005.2120967722</v>
      </c>
    </row>
    <row r="87" spans="6:25" ht="14.25" customHeight="1">
      <c r="G87" s="103" t="s">
        <v>208</v>
      </c>
      <c r="N87" s="152"/>
      <c r="O87" s="574">
        <f>O78*seven_months</f>
        <v>-155416.72100692097</v>
      </c>
      <c r="P87" s="152">
        <f t="shared" si="15"/>
        <v>-262611.19682566205</v>
      </c>
      <c r="Q87" s="152">
        <f t="shared" si="15"/>
        <v>-258155.65893382757</v>
      </c>
      <c r="R87" s="152">
        <f t="shared" si="15"/>
        <v>-253548.62741733124</v>
      </c>
      <c r="S87" s="152">
        <f t="shared" si="15"/>
        <v>-249100.24540713645</v>
      </c>
      <c r="T87" s="152">
        <f t="shared" si="15"/>
        <v>-290976.89844610955</v>
      </c>
      <c r="U87" s="152">
        <f t="shared" si="15"/>
        <v>-286053.27284273307</v>
      </c>
      <c r="V87" s="152">
        <f t="shared" si="15"/>
        <v>-281007.49718745443</v>
      </c>
      <c r="W87" s="152">
        <f t="shared" si="15"/>
        <v>-275835.69807734154</v>
      </c>
      <c r="X87" s="152">
        <f t="shared" si="15"/>
        <v>-270534.73909866199</v>
      </c>
      <c r="Y87" s="152">
        <f t="shared" si="15"/>
        <v>-1300104.7448221021</v>
      </c>
    </row>
    <row r="88" spans="6:25" ht="14.25" customHeight="1">
      <c r="G88" s="103" t="s">
        <v>207</v>
      </c>
      <c r="N88" s="152"/>
      <c r="O88" s="152">
        <f>O79</f>
        <v>-766.53054105700573</v>
      </c>
      <c r="P88" s="152">
        <f t="shared" si="15"/>
        <v>-766.53054105700573</v>
      </c>
      <c r="Q88" s="152">
        <f t="shared" si="15"/>
        <v>-766.53054105700573</v>
      </c>
      <c r="R88" s="152">
        <f t="shared" si="15"/>
        <v>-766.53054105700573</v>
      </c>
      <c r="S88" s="152">
        <f t="shared" si="15"/>
        <v>-766.53054105700573</v>
      </c>
      <c r="T88" s="152">
        <f t="shared" si="15"/>
        <v>0</v>
      </c>
      <c r="U88" s="152">
        <f t="shared" si="15"/>
        <v>0</v>
      </c>
      <c r="V88" s="152">
        <f t="shared" si="15"/>
        <v>0</v>
      </c>
      <c r="W88" s="152">
        <f t="shared" si="15"/>
        <v>0</v>
      </c>
      <c r="X88" s="152">
        <f t="shared" si="15"/>
        <v>0</v>
      </c>
      <c r="Y88" s="152">
        <f t="shared" si="15"/>
        <v>0</v>
      </c>
    </row>
    <row r="89" spans="6:25">
      <c r="G89" s="262" t="s">
        <v>141</v>
      </c>
      <c r="H89" s="261"/>
      <c r="I89" s="261"/>
      <c r="J89" s="261"/>
      <c r="K89" s="261"/>
      <c r="L89" s="261"/>
      <c r="M89" s="261"/>
      <c r="N89" s="166"/>
      <c r="O89" s="166">
        <f t="shared" ref="O89:Y89" si="16">SUM(O84:O88)</f>
        <v>2054909.4216198868</v>
      </c>
      <c r="P89" s="166">
        <f t="shared" si="16"/>
        <v>3613648.4848573655</v>
      </c>
      <c r="Q89" s="166">
        <f t="shared" si="16"/>
        <v>3630615.4356413702</v>
      </c>
      <c r="R89" s="166">
        <f t="shared" si="16"/>
        <v>3647747.1547142365</v>
      </c>
      <c r="S89" s="166">
        <f t="shared" si="16"/>
        <v>3666493.1223924607</v>
      </c>
      <c r="T89" s="166">
        <f t="shared" si="16"/>
        <v>3643963.1238478669</v>
      </c>
      <c r="U89" s="166">
        <f t="shared" si="16"/>
        <v>3659003.8018318131</v>
      </c>
      <c r="V89" s="166">
        <f t="shared" si="16"/>
        <v>3676175.2226942535</v>
      </c>
      <c r="W89" s="166">
        <f t="shared" si="16"/>
        <v>3696025.3616762748</v>
      </c>
      <c r="X89" s="166">
        <f t="shared" si="16"/>
        <v>3718063.3028193614</v>
      </c>
      <c r="Y89" s="166">
        <f t="shared" si="16"/>
        <v>20178353.404594734</v>
      </c>
    </row>
  </sheetData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22" zoomScaleNormal="100" workbookViewId="0">
      <selection activeCell="C59" sqref="C59"/>
    </sheetView>
  </sheetViews>
  <sheetFormatPr defaultRowHeight="12.75"/>
  <cols>
    <col min="2" max="2" width="30.7109375" customWidth="1"/>
    <col min="3" max="3" width="13" customWidth="1"/>
    <col min="4" max="8" width="13.140625" customWidth="1"/>
  </cols>
  <sheetData>
    <row r="1" spans="2:7" ht="18">
      <c r="B1" s="695" t="s">
        <v>289</v>
      </c>
      <c r="C1" s="695"/>
      <c r="D1" s="695"/>
      <c r="E1" s="695"/>
      <c r="F1" s="695"/>
      <c r="G1" s="695"/>
    </row>
    <row r="2" spans="2:7" ht="13.5" thickBot="1"/>
    <row r="3" spans="2:7" ht="13.5" thickBot="1">
      <c r="B3" s="688"/>
      <c r="C3" s="689" t="s">
        <v>284</v>
      </c>
      <c r="D3" s="689" t="s">
        <v>285</v>
      </c>
      <c r="E3" s="689" t="s">
        <v>286</v>
      </c>
      <c r="F3" s="689" t="s">
        <v>287</v>
      </c>
      <c r="G3" s="690" t="s">
        <v>288</v>
      </c>
    </row>
    <row r="4" spans="2:7">
      <c r="B4" s="670"/>
      <c r="C4" s="1" t="s">
        <v>293</v>
      </c>
      <c r="D4" s="1"/>
      <c r="E4" s="1"/>
      <c r="F4" s="1"/>
      <c r="G4" s="671"/>
    </row>
    <row r="5" spans="2:7">
      <c r="B5" s="670" t="s">
        <v>295</v>
      </c>
      <c r="C5" s="1">
        <f>(AIRFIELD!O67)/1000</f>
        <v>203438.30002031702</v>
      </c>
      <c r="D5" s="1">
        <f>(AIRFIELD!P67)/1000</f>
        <v>223424.70267324991</v>
      </c>
      <c r="E5" s="1">
        <f>(AIRFIELD!Q67)/1000</f>
        <v>230924.87510670724</v>
      </c>
      <c r="F5" s="1">
        <f>(AIRFIELD!R67)/1000</f>
        <v>235778.77248718668</v>
      </c>
      <c r="G5" s="671">
        <f>(AIRFIELD!S67)/1000</f>
        <v>241209.17982341207</v>
      </c>
    </row>
    <row r="6" spans="2:7">
      <c r="B6" s="683" t="s">
        <v>290</v>
      </c>
      <c r="C6" s="681">
        <v>0.13553999999999999</v>
      </c>
      <c r="D6" s="681">
        <f>C6</f>
        <v>0.13553999999999999</v>
      </c>
      <c r="E6" s="681">
        <f t="shared" ref="E6:G6" si="0">D6</f>
        <v>0.13553999999999999</v>
      </c>
      <c r="F6" s="681">
        <f t="shared" si="0"/>
        <v>0.13553999999999999</v>
      </c>
      <c r="G6" s="682">
        <f t="shared" si="0"/>
        <v>0.13553999999999999</v>
      </c>
    </row>
    <row r="7" spans="2:7">
      <c r="B7" s="670" t="s">
        <v>296</v>
      </c>
      <c r="C7" s="1">
        <f>C5*C6*7/12</f>
        <v>16084.849191106367</v>
      </c>
      <c r="D7" s="1">
        <f>D5*D6</f>
        <v>30282.984200332292</v>
      </c>
      <c r="E7" s="1">
        <f>E5*E6</f>
        <v>31299.557571963098</v>
      </c>
      <c r="F7" s="1">
        <f>F5*F6</f>
        <v>31957.454822913282</v>
      </c>
      <c r="G7" s="671">
        <f>G5*G6</f>
        <v>32693.492233265271</v>
      </c>
    </row>
    <row r="8" spans="2:7">
      <c r="B8" s="670"/>
      <c r="C8" s="1"/>
      <c r="D8" s="1"/>
      <c r="E8" s="1"/>
      <c r="F8" s="1"/>
      <c r="G8" s="671"/>
    </row>
    <row r="9" spans="2:7">
      <c r="B9" s="672" t="s">
        <v>294</v>
      </c>
      <c r="C9" s="1"/>
      <c r="D9" s="1"/>
      <c r="E9" s="1"/>
      <c r="F9" s="1"/>
      <c r="G9" s="671"/>
    </row>
    <row r="10" spans="2:7">
      <c r="B10" s="670" t="s">
        <v>297</v>
      </c>
      <c r="C10" s="1">
        <f>(AIRFIELD!O85)/1000</f>
        <v>3136.3411284170311</v>
      </c>
      <c r="D10" s="1">
        <f>(AIRFIELD!P85)/1000</f>
        <v>5916.0232371689108</v>
      </c>
      <c r="E10" s="1">
        <f>(AIRFIELD!Q85)/1000</f>
        <v>6211.7652823366188</v>
      </c>
      <c r="F10" s="1">
        <f>(AIRFIELD!R85)/1000</f>
        <v>6483.3133958307699</v>
      </c>
      <c r="G10" s="671">
        <f>(AIRFIELD!S85)/1000</f>
        <v>6799.1789367607716</v>
      </c>
    </row>
    <row r="11" spans="2:7">
      <c r="B11" s="670" t="s">
        <v>298</v>
      </c>
      <c r="C11" s="1">
        <f>C7</f>
        <v>16084.849191106367</v>
      </c>
      <c r="D11" s="1">
        <f t="shared" ref="D11:G11" si="1">D7</f>
        <v>30282.984200332292</v>
      </c>
      <c r="E11" s="1">
        <f t="shared" si="1"/>
        <v>31299.557571963098</v>
      </c>
      <c r="F11" s="1">
        <f t="shared" si="1"/>
        <v>31957.454822913282</v>
      </c>
      <c r="G11" s="671">
        <f t="shared" si="1"/>
        <v>32693.492233265271</v>
      </c>
    </row>
    <row r="12" spans="2:7">
      <c r="B12" s="670" t="s">
        <v>299</v>
      </c>
      <c r="C12" s="1">
        <f>(AIRFIELD!O87)/1000</f>
        <v>-2247.3819467803346</v>
      </c>
      <c r="D12" s="1">
        <f>(AIRFIELD!P87)/1000</f>
        <v>-4487.815844126204</v>
      </c>
      <c r="E12" s="1">
        <f>(AIRFIELD!Q87)/1000</f>
        <v>-4699.9260335926283</v>
      </c>
      <c r="F12" s="1">
        <f>(AIRFIELD!R87)/1000</f>
        <v>-4813.0453744922443</v>
      </c>
      <c r="G12" s="671">
        <f>(AIRFIELD!S87)/1000</f>
        <v>-4916.9363474122192</v>
      </c>
    </row>
    <row r="13" spans="2:7">
      <c r="B13" s="670" t="s">
        <v>300</v>
      </c>
      <c r="C13" s="1">
        <f>(AIRFIELD!O88)/1000</f>
        <v>-8677.8830482765625</v>
      </c>
      <c r="D13" s="1">
        <f>(AIRFIELD!P88)/1000</f>
        <v>-8677.8830482765625</v>
      </c>
      <c r="E13" s="1">
        <f>(AIRFIELD!Q88)/1000</f>
        <v>-8677.8830482765625</v>
      </c>
      <c r="F13" s="1">
        <f>(AIRFIELD!R88)/1000</f>
        <v>-8677.8830482765625</v>
      </c>
      <c r="G13" s="671">
        <f>(AIRFIELD!S88)/1000</f>
        <v>-8677.8830482765625</v>
      </c>
    </row>
    <row r="14" spans="2:7">
      <c r="B14" s="670"/>
      <c r="C14" s="1"/>
      <c r="D14" s="1"/>
      <c r="E14" s="1"/>
      <c r="F14" s="1"/>
      <c r="G14" s="671"/>
    </row>
    <row r="15" spans="2:7" ht="13.5" thickBot="1">
      <c r="B15" s="673" t="s">
        <v>301</v>
      </c>
      <c r="C15" s="674">
        <f>C10+C11+C12+C13</f>
        <v>8295.9253244665015</v>
      </c>
      <c r="D15" s="674">
        <f>D10+D11+D12+D13</f>
        <v>23033.308545098436</v>
      </c>
      <c r="E15" s="674">
        <f>E10+E11+E12+E13</f>
        <v>24133.513772430524</v>
      </c>
      <c r="F15" s="674">
        <f>F10+F11+F12+F13</f>
        <v>24949.839795975247</v>
      </c>
      <c r="G15" s="675">
        <f>G10+G11+G12+G13</f>
        <v>25897.851774337258</v>
      </c>
    </row>
    <row r="18" spans="2:7" ht="18">
      <c r="B18" s="695" t="s">
        <v>291</v>
      </c>
      <c r="C18" s="695"/>
      <c r="D18" s="695"/>
      <c r="E18" s="695"/>
      <c r="F18" s="695"/>
      <c r="G18" s="695"/>
    </row>
    <row r="19" spans="2:7" ht="13.5" thickBot="1"/>
    <row r="20" spans="2:7" ht="13.5" thickBot="1">
      <c r="B20" s="688"/>
      <c r="C20" s="689" t="s">
        <v>284</v>
      </c>
      <c r="D20" s="689" t="s">
        <v>285</v>
      </c>
      <c r="E20" s="689" t="s">
        <v>286</v>
      </c>
      <c r="F20" s="689" t="s">
        <v>287</v>
      </c>
      <c r="G20" s="690" t="s">
        <v>288</v>
      </c>
    </row>
    <row r="21" spans="2:7">
      <c r="B21" s="670"/>
      <c r="C21" s="1" t="s">
        <v>293</v>
      </c>
      <c r="D21" s="1"/>
      <c r="E21" s="1"/>
      <c r="F21" s="1"/>
      <c r="G21" s="671"/>
    </row>
    <row r="22" spans="2:7">
      <c r="B22" s="670" t="s">
        <v>295</v>
      </c>
      <c r="C22" s="1">
        <f>C5</f>
        <v>203438.30002031702</v>
      </c>
      <c r="D22" s="1">
        <f>D5</f>
        <v>223424.70267324991</v>
      </c>
      <c r="E22" s="1">
        <f>E5</f>
        <v>230924.87510670724</v>
      </c>
      <c r="F22" s="1">
        <f>F5</f>
        <v>235778.77248718668</v>
      </c>
      <c r="G22" s="671">
        <f>G5</f>
        <v>241209.17982341207</v>
      </c>
    </row>
    <row r="23" spans="2:7">
      <c r="B23" s="683" t="s">
        <v>290</v>
      </c>
      <c r="C23" s="685">
        <f>C6*0.72</f>
        <v>9.7588799999999989E-2</v>
      </c>
      <c r="D23" s="681">
        <f>C23</f>
        <v>9.7588799999999989E-2</v>
      </c>
      <c r="E23" s="681">
        <f t="shared" ref="E23:G23" si="2">D23</f>
        <v>9.7588799999999989E-2</v>
      </c>
      <c r="F23" s="681">
        <f t="shared" si="2"/>
        <v>9.7588799999999989E-2</v>
      </c>
      <c r="G23" s="682">
        <f t="shared" si="2"/>
        <v>9.7588799999999989E-2</v>
      </c>
    </row>
    <row r="24" spans="2:7">
      <c r="B24" s="670" t="s">
        <v>296</v>
      </c>
      <c r="C24" s="1">
        <f>C22*C23*7/12</f>
        <v>11581.091417596583</v>
      </c>
      <c r="D24" s="1">
        <f t="shared" ref="D24:G24" si="3">D22*D23</f>
        <v>21803.748624239248</v>
      </c>
      <c r="E24" s="1">
        <f t="shared" si="3"/>
        <v>22535.681451813431</v>
      </c>
      <c r="F24" s="1">
        <f t="shared" si="3"/>
        <v>23009.367472497561</v>
      </c>
      <c r="G24" s="671">
        <f t="shared" si="3"/>
        <v>23539.314407950991</v>
      </c>
    </row>
    <row r="25" spans="2:7">
      <c r="B25" s="670"/>
      <c r="C25" s="1"/>
      <c r="D25" s="1"/>
      <c r="E25" s="1"/>
      <c r="F25" s="1"/>
      <c r="G25" s="671"/>
    </row>
    <row r="26" spans="2:7">
      <c r="B26" s="672" t="s">
        <v>294</v>
      </c>
      <c r="C26" s="1"/>
      <c r="D26" s="1"/>
      <c r="E26" s="1"/>
      <c r="F26" s="1"/>
      <c r="G26" s="671"/>
    </row>
    <row r="27" spans="2:7">
      <c r="B27" s="670" t="s">
        <v>297</v>
      </c>
      <c r="C27" s="1">
        <f>C10</f>
        <v>3136.3411284170311</v>
      </c>
      <c r="D27" s="1">
        <f>D10</f>
        <v>5916.0232371689108</v>
      </c>
      <c r="E27" s="1">
        <f>E10</f>
        <v>6211.7652823366188</v>
      </c>
      <c r="F27" s="1">
        <f>F10</f>
        <v>6483.3133958307699</v>
      </c>
      <c r="G27" s="671">
        <f>G10</f>
        <v>6799.1789367607716</v>
      </c>
    </row>
    <row r="28" spans="2:7">
      <c r="B28" s="670" t="s">
        <v>298</v>
      </c>
      <c r="C28" s="1">
        <f>C24</f>
        <v>11581.091417596583</v>
      </c>
      <c r="D28" s="1">
        <f t="shared" ref="D28:G28" si="4">D24</f>
        <v>21803.748624239248</v>
      </c>
      <c r="E28" s="1">
        <f t="shared" si="4"/>
        <v>22535.681451813431</v>
      </c>
      <c r="F28" s="1">
        <f t="shared" si="4"/>
        <v>23009.367472497561</v>
      </c>
      <c r="G28" s="671">
        <f t="shared" si="4"/>
        <v>23539.314407950991</v>
      </c>
    </row>
    <row r="29" spans="2:7">
      <c r="B29" s="670" t="s">
        <v>303</v>
      </c>
      <c r="C29" s="1">
        <f>0.28/0.72*(C28+C12+C13)</f>
        <v>255.04360876543316</v>
      </c>
      <c r="D29" s="1">
        <f t="shared" ref="D29:G29" si="5">0.28/0.72*(D28+D12+D13)</f>
        <v>3359.2415623808538</v>
      </c>
      <c r="E29" s="1">
        <f t="shared" si="5"/>
        <v>3561.3948105338723</v>
      </c>
      <c r="F29" s="1">
        <f t="shared" si="5"/>
        <v>3701.615186005627</v>
      </c>
      <c r="G29" s="671">
        <f t="shared" si="5"/>
        <v>3867.303615879749</v>
      </c>
    </row>
    <row r="30" spans="2:7">
      <c r="B30" s="670" t="s">
        <v>299</v>
      </c>
      <c r="C30" s="1">
        <f>C12</f>
        <v>-2247.3819467803346</v>
      </c>
      <c r="D30" s="1">
        <f t="shared" ref="D30:G30" si="6">D12</f>
        <v>-4487.815844126204</v>
      </c>
      <c r="E30" s="1">
        <f t="shared" si="6"/>
        <v>-4699.9260335926283</v>
      </c>
      <c r="F30" s="1">
        <f t="shared" si="6"/>
        <v>-4813.0453744922443</v>
      </c>
      <c r="G30" s="671">
        <f t="shared" si="6"/>
        <v>-4916.9363474122192</v>
      </c>
    </row>
    <row r="31" spans="2:7">
      <c r="B31" s="670" t="s">
        <v>300</v>
      </c>
      <c r="C31" s="1">
        <f>C13</f>
        <v>-8677.8830482765625</v>
      </c>
      <c r="D31" s="1">
        <f t="shared" ref="D31:G31" si="7">D13</f>
        <v>-8677.8830482765625</v>
      </c>
      <c r="E31" s="1">
        <f t="shared" si="7"/>
        <v>-8677.8830482765625</v>
      </c>
      <c r="F31" s="1">
        <f t="shared" si="7"/>
        <v>-8677.8830482765625</v>
      </c>
      <c r="G31" s="671">
        <f t="shared" si="7"/>
        <v>-8677.8830482765625</v>
      </c>
    </row>
    <row r="32" spans="2:7">
      <c r="B32" s="670"/>
      <c r="C32" s="1"/>
      <c r="D32" s="1"/>
      <c r="E32" s="1"/>
      <c r="F32" s="1"/>
      <c r="G32" s="671"/>
    </row>
    <row r="33" spans="2:7" ht="13.5" thickBot="1">
      <c r="B33" s="673" t="s">
        <v>301</v>
      </c>
      <c r="C33" s="674">
        <f>C27+C28+C29+C30+C31</f>
        <v>4047.2111597221483</v>
      </c>
      <c r="D33" s="674">
        <f t="shared" ref="D33:G33" si="8">D27+D28+D29+D30+D31</f>
        <v>17913.314531386248</v>
      </c>
      <c r="E33" s="674">
        <f t="shared" si="8"/>
        <v>18931.032462814728</v>
      </c>
      <c r="F33" s="674">
        <f t="shared" si="8"/>
        <v>19703.36763156515</v>
      </c>
      <c r="G33" s="675">
        <f t="shared" si="8"/>
        <v>20610.977564902732</v>
      </c>
    </row>
    <row r="36" spans="2:7" ht="18">
      <c r="B36" s="695" t="s">
        <v>292</v>
      </c>
      <c r="C36" s="695"/>
      <c r="D36" s="695"/>
      <c r="E36" s="695"/>
      <c r="F36" s="695"/>
      <c r="G36" s="695"/>
    </row>
    <row r="37" spans="2:7" ht="13.5" thickBot="1"/>
    <row r="38" spans="2:7" ht="13.5" thickBot="1">
      <c r="B38" s="688"/>
      <c r="C38" s="689" t="s">
        <v>284</v>
      </c>
      <c r="D38" s="689" t="s">
        <v>285</v>
      </c>
      <c r="E38" s="689" t="s">
        <v>286</v>
      </c>
      <c r="F38" s="689" t="s">
        <v>287</v>
      </c>
      <c r="G38" s="690" t="s">
        <v>288</v>
      </c>
    </row>
    <row r="39" spans="2:7">
      <c r="B39" s="691"/>
      <c r="C39" s="692" t="s">
        <v>293</v>
      </c>
      <c r="D39" s="692"/>
      <c r="E39" s="692"/>
      <c r="F39" s="692"/>
      <c r="G39" s="693"/>
    </row>
    <row r="40" spans="2:7">
      <c r="B40" s="670" t="s">
        <v>295</v>
      </c>
      <c r="C40" s="1">
        <f>C22</f>
        <v>203438.30002031702</v>
      </c>
      <c r="D40" s="1">
        <f t="shared" ref="D40:G40" si="9">D22</f>
        <v>223424.70267324991</v>
      </c>
      <c r="E40" s="1">
        <f t="shared" si="9"/>
        <v>230924.87510670724</v>
      </c>
      <c r="F40" s="1">
        <f t="shared" si="9"/>
        <v>235778.77248718668</v>
      </c>
      <c r="G40" s="671">
        <f t="shared" si="9"/>
        <v>241209.17982341207</v>
      </c>
    </row>
    <row r="41" spans="2:7" s="680" customFormat="1">
      <c r="B41" s="683" t="s">
        <v>290</v>
      </c>
      <c r="C41" s="681">
        <f>C6</f>
        <v>0.13553999999999999</v>
      </c>
      <c r="D41" s="681">
        <f>C41</f>
        <v>0.13553999999999999</v>
      </c>
      <c r="E41" s="681">
        <f t="shared" ref="E41:G41" si="10">D41</f>
        <v>0.13553999999999999</v>
      </c>
      <c r="F41" s="681">
        <f t="shared" si="10"/>
        <v>0.13553999999999999</v>
      </c>
      <c r="G41" s="682">
        <f t="shared" si="10"/>
        <v>0.13553999999999999</v>
      </c>
    </row>
    <row r="42" spans="2:7">
      <c r="B42" s="670" t="s">
        <v>296</v>
      </c>
      <c r="C42" s="1">
        <f>C40*C41*7/12</f>
        <v>16084.849191106367</v>
      </c>
      <c r="D42" s="1">
        <f t="shared" ref="D42:G42" si="11">D40*D41</f>
        <v>30282.984200332292</v>
      </c>
      <c r="E42" s="1">
        <f t="shared" si="11"/>
        <v>31299.557571963098</v>
      </c>
      <c r="F42" s="1">
        <f t="shared" si="11"/>
        <v>31957.454822913282</v>
      </c>
      <c r="G42" s="671">
        <f t="shared" si="11"/>
        <v>32693.492233265271</v>
      </c>
    </row>
    <row r="43" spans="2:7">
      <c r="B43" s="670"/>
      <c r="C43" s="1"/>
      <c r="D43" s="1"/>
      <c r="E43" s="1"/>
      <c r="F43" s="1"/>
      <c r="G43" s="671"/>
    </row>
    <row r="44" spans="2:7">
      <c r="B44" s="672" t="s">
        <v>294</v>
      </c>
      <c r="C44" s="1"/>
      <c r="D44" s="1"/>
      <c r="E44" s="1"/>
      <c r="F44" s="1"/>
      <c r="G44" s="671"/>
    </row>
    <row r="45" spans="2:7">
      <c r="B45" s="670" t="s">
        <v>297</v>
      </c>
      <c r="C45" s="1">
        <f>C27</f>
        <v>3136.3411284170311</v>
      </c>
      <c r="D45" s="1">
        <f t="shared" ref="D45:G45" si="12">D27</f>
        <v>5916.0232371689108</v>
      </c>
      <c r="E45" s="1">
        <f t="shared" si="12"/>
        <v>6211.7652823366188</v>
      </c>
      <c r="F45" s="1">
        <f t="shared" si="12"/>
        <v>6483.3133958307699</v>
      </c>
      <c r="G45" s="671">
        <f t="shared" si="12"/>
        <v>6799.1789367607716</v>
      </c>
    </row>
    <row r="46" spans="2:7">
      <c r="B46" s="670" t="s">
        <v>298</v>
      </c>
      <c r="C46" s="1">
        <f>C42</f>
        <v>16084.849191106367</v>
      </c>
      <c r="D46" s="1">
        <f t="shared" ref="D46:G46" si="13">D42</f>
        <v>30282.984200332292</v>
      </c>
      <c r="E46" s="1">
        <f t="shared" si="13"/>
        <v>31299.557571963098</v>
      </c>
      <c r="F46" s="1">
        <f t="shared" si="13"/>
        <v>31957.454822913282</v>
      </c>
      <c r="G46" s="671">
        <f t="shared" si="13"/>
        <v>32693.492233265271</v>
      </c>
    </row>
    <row r="47" spans="2:7">
      <c r="B47" s="670" t="s">
        <v>299</v>
      </c>
      <c r="C47" s="1">
        <f t="shared" ref="C47:G48" si="14">C12/0.72</f>
        <v>-3121.3638149726871</v>
      </c>
      <c r="D47" s="1">
        <f t="shared" si="14"/>
        <v>-6233.0775612863945</v>
      </c>
      <c r="E47" s="1">
        <f t="shared" si="14"/>
        <v>-6527.6750466564281</v>
      </c>
      <c r="F47" s="1">
        <f t="shared" si="14"/>
        <v>-6684.7852423503391</v>
      </c>
      <c r="G47" s="671">
        <f t="shared" si="14"/>
        <v>-6829.0782602947493</v>
      </c>
    </row>
    <row r="48" spans="2:7">
      <c r="B48" s="670" t="s">
        <v>300</v>
      </c>
      <c r="C48" s="1">
        <f t="shared" si="14"/>
        <v>-12052.615344828559</v>
      </c>
      <c r="D48" s="1">
        <f t="shared" si="14"/>
        <v>-12052.615344828559</v>
      </c>
      <c r="E48" s="1">
        <f t="shared" si="14"/>
        <v>-12052.615344828559</v>
      </c>
      <c r="F48" s="1">
        <f t="shared" si="14"/>
        <v>-12052.615344828559</v>
      </c>
      <c r="G48" s="671">
        <f t="shared" si="14"/>
        <v>-12052.615344828559</v>
      </c>
    </row>
    <row r="49" spans="2:7">
      <c r="B49" s="670"/>
      <c r="C49" s="1"/>
      <c r="D49" s="1"/>
      <c r="E49" s="1"/>
      <c r="F49" s="1"/>
      <c r="G49" s="671"/>
    </row>
    <row r="50" spans="2:7" ht="13.5" thickBot="1">
      <c r="B50" s="673" t="s">
        <v>301</v>
      </c>
      <c r="C50" s="674">
        <f>SUM(C45:C48)</f>
        <v>4047.2111597221519</v>
      </c>
      <c r="D50" s="674">
        <f>SUM(D45:D48)</f>
        <v>17913.314531386251</v>
      </c>
      <c r="E50" s="674">
        <f>SUM(E45:E48)</f>
        <v>18931.032462814732</v>
      </c>
      <c r="F50" s="674">
        <f>SUM(F45:F48)</f>
        <v>19703.367631565154</v>
      </c>
      <c r="G50" s="675">
        <f>SUM(G45:G48)</f>
        <v>20610.977564902732</v>
      </c>
    </row>
    <row r="51" spans="2:7" ht="13.5" thickBot="1">
      <c r="B51" s="1"/>
      <c r="C51" s="1"/>
      <c r="D51" s="1"/>
      <c r="E51" s="1"/>
      <c r="F51" s="1"/>
      <c r="G51" s="1"/>
    </row>
    <row r="52" spans="2:7" ht="13.5" thickBot="1">
      <c r="B52" s="676" t="s">
        <v>302</v>
      </c>
      <c r="C52" s="677">
        <f>C15-C33</f>
        <v>4248.7141647443532</v>
      </c>
      <c r="D52" s="677">
        <f t="shared" ref="D52:G52" si="15">D15-D33</f>
        <v>5119.9940137121885</v>
      </c>
      <c r="E52" s="677">
        <f t="shared" si="15"/>
        <v>5202.4813096157959</v>
      </c>
      <c r="F52" s="677">
        <f t="shared" si="15"/>
        <v>5246.4721644100973</v>
      </c>
      <c r="G52" s="678">
        <f t="shared" si="15"/>
        <v>5286.8742094345253</v>
      </c>
    </row>
    <row r="53" spans="2:7" ht="13.5" thickBot="1"/>
    <row r="54" spans="2:7" ht="13.5" thickBot="1">
      <c r="B54" s="676" t="s">
        <v>23</v>
      </c>
      <c r="C54" s="677"/>
      <c r="D54" s="677"/>
      <c r="E54" s="677"/>
      <c r="F54" s="677"/>
      <c r="G54" s="678">
        <f>SUM(C52:G52)</f>
        <v>25104.53586191696</v>
      </c>
    </row>
  </sheetData>
  <mergeCells count="3">
    <mergeCell ref="B1:G1"/>
    <mergeCell ref="B18:G18"/>
    <mergeCell ref="B36:G36"/>
  </mergeCells>
  <pageMargins left="0.7" right="0.7" top="0.75" bottom="0.75" header="0.3" footer="0.3"/>
  <pageSetup paperSize="9" scale="9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9" zoomScaleNormal="100" workbookViewId="0">
      <selection activeCell="C56" sqref="C56"/>
    </sheetView>
  </sheetViews>
  <sheetFormatPr defaultRowHeight="12.75"/>
  <cols>
    <col min="2" max="2" width="30.7109375" customWidth="1"/>
    <col min="3" max="7" width="13" customWidth="1"/>
    <col min="8" max="8" width="10.7109375" bestFit="1" customWidth="1"/>
  </cols>
  <sheetData>
    <row r="1" spans="2:7" ht="18">
      <c r="B1" s="695" t="s">
        <v>289</v>
      </c>
      <c r="C1" s="695"/>
      <c r="D1" s="695"/>
      <c r="E1" s="695"/>
      <c r="F1" s="695"/>
      <c r="G1" s="695"/>
    </row>
    <row r="2" spans="2:7" ht="13.5" thickBot="1"/>
    <row r="3" spans="2:7" ht="13.5" thickBot="1">
      <c r="B3" s="688"/>
      <c r="C3" s="689" t="s">
        <v>284</v>
      </c>
      <c r="D3" s="689" t="s">
        <v>285</v>
      </c>
      <c r="E3" s="689" t="s">
        <v>286</v>
      </c>
      <c r="F3" s="689" t="s">
        <v>287</v>
      </c>
      <c r="G3" s="690" t="s">
        <v>288</v>
      </c>
    </row>
    <row r="4" spans="2:7">
      <c r="B4" s="670"/>
      <c r="C4" s="1" t="s">
        <v>293</v>
      </c>
      <c r="D4" s="1"/>
      <c r="E4" s="1"/>
      <c r="F4" s="1"/>
      <c r="G4" s="671"/>
    </row>
    <row r="5" spans="2:7">
      <c r="B5" s="670" t="s">
        <v>295</v>
      </c>
      <c r="C5" s="1">
        <f>('TERM INTER'!O67)/1000</f>
        <v>116967.86121267325</v>
      </c>
      <c r="D5" s="1">
        <f>('TERM INTER'!P67)/1000</f>
        <v>117973.72596574033</v>
      </c>
      <c r="E5" s="1">
        <f>('TERM INTER'!Q67)/1000</f>
        <v>118357.11548613408</v>
      </c>
      <c r="F5" s="1">
        <f>('TERM INTER'!R67)/1000</f>
        <v>118715.42057214785</v>
      </c>
      <c r="G5" s="671">
        <f>('TERM INTER'!S67)/1000</f>
        <v>118977.83271876522</v>
      </c>
    </row>
    <row r="6" spans="2:7" s="680" customFormat="1">
      <c r="B6" s="683" t="s">
        <v>290</v>
      </c>
      <c r="C6" s="681">
        <v>0.13553999999999999</v>
      </c>
      <c r="D6" s="681">
        <f>C6</f>
        <v>0.13553999999999999</v>
      </c>
      <c r="E6" s="681">
        <f t="shared" ref="E6:G6" si="0">D6</f>
        <v>0.13553999999999999</v>
      </c>
      <c r="F6" s="681">
        <f t="shared" si="0"/>
        <v>0.13553999999999999</v>
      </c>
      <c r="G6" s="682">
        <f t="shared" si="0"/>
        <v>0.13553999999999999</v>
      </c>
    </row>
    <row r="7" spans="2:7">
      <c r="B7" s="670" t="s">
        <v>296</v>
      </c>
      <c r="C7" s="1">
        <f>C5*C6*7/12</f>
        <v>9248.0639467800102</v>
      </c>
      <c r="D7" s="1">
        <f>D5*D6</f>
        <v>15990.158817396445</v>
      </c>
      <c r="E7" s="1">
        <f>E5*E6</f>
        <v>16042.123432990613</v>
      </c>
      <c r="F7" s="1">
        <f>F5*F6</f>
        <v>16090.688104348919</v>
      </c>
      <c r="G7" s="671">
        <f>G5*G6</f>
        <v>16126.255446701436</v>
      </c>
    </row>
    <row r="8" spans="2:7">
      <c r="B8" s="670"/>
      <c r="C8" s="1"/>
      <c r="D8" s="1"/>
      <c r="E8" s="1"/>
      <c r="F8" s="1"/>
      <c r="G8" s="671"/>
    </row>
    <row r="9" spans="2:7">
      <c r="B9" s="672" t="s">
        <v>294</v>
      </c>
      <c r="C9" s="1"/>
      <c r="D9" s="1"/>
      <c r="E9" s="1"/>
      <c r="F9" s="1"/>
      <c r="G9" s="671"/>
    </row>
    <row r="10" spans="2:7">
      <c r="B10" s="670" t="s">
        <v>297</v>
      </c>
      <c r="C10" s="1">
        <f>('TERM INTER'!O85)/1000</f>
        <v>2695.1518146829549</v>
      </c>
      <c r="D10" s="1">
        <f>('TERM INTER'!P85)/1000</f>
        <v>4778.9345177499554</v>
      </c>
      <c r="E10" s="1">
        <f>('TERM INTER'!Q85)/1000</f>
        <v>4843.7280807042334</v>
      </c>
      <c r="F10" s="1">
        <f>('TERM INTER'!R85)/1000</f>
        <v>5117.9079637269942</v>
      </c>
      <c r="G10" s="671">
        <f>('TERM INTER'!S85)/1000</f>
        <v>5151.5839802951568</v>
      </c>
    </row>
    <row r="11" spans="2:7">
      <c r="B11" s="670" t="s">
        <v>298</v>
      </c>
      <c r="C11" s="1">
        <f>C7</f>
        <v>9248.0639467800102</v>
      </c>
      <c r="D11" s="1">
        <f>D7</f>
        <v>15990.158817396445</v>
      </c>
      <c r="E11" s="1">
        <f t="shared" ref="E11:G11" si="1">E7</f>
        <v>16042.123432990613</v>
      </c>
      <c r="F11" s="1">
        <f t="shared" si="1"/>
        <v>16090.688104348919</v>
      </c>
      <c r="G11" s="671">
        <f t="shared" si="1"/>
        <v>16126.255446701436</v>
      </c>
    </row>
    <row r="12" spans="2:7">
      <c r="B12" s="670" t="s">
        <v>299</v>
      </c>
      <c r="C12" s="1">
        <f>('TERM INTER'!O87)/1000</f>
        <v>-1427.6081949847762</v>
      </c>
      <c r="D12" s="1">
        <f>('TERM INTER'!P87)/1000</f>
        <v>-2425.0458436498466</v>
      </c>
      <c r="E12" s="1">
        <f>('TERM INTER'!Q87)/1000</f>
        <v>-2481.6010762772557</v>
      </c>
      <c r="F12" s="1">
        <f>('TERM INTER'!R87)/1000</f>
        <v>-2439.9988223893961</v>
      </c>
      <c r="G12" s="671">
        <f>('TERM INTER'!S87)/1000</f>
        <v>-2498.8608137675496</v>
      </c>
    </row>
    <row r="13" spans="2:7">
      <c r="B13" s="670" t="s">
        <v>300</v>
      </c>
      <c r="C13" s="1">
        <f>('TERM INTER'!O88)/1000</f>
        <v>-192.002510840177</v>
      </c>
      <c r="D13" s="1">
        <f>('TERM INTER'!P88)/1000</f>
        <v>-192.002510840177</v>
      </c>
      <c r="E13" s="1">
        <f>('TERM INTER'!Q88)/1000</f>
        <v>-192.002510840177</v>
      </c>
      <c r="F13" s="1">
        <f>('TERM INTER'!R88)/1000</f>
        <v>-192.002510840177</v>
      </c>
      <c r="G13" s="671">
        <f>('TERM INTER'!S88)/1000</f>
        <v>-192.002510840177</v>
      </c>
    </row>
    <row r="14" spans="2:7">
      <c r="B14" s="670"/>
      <c r="C14" s="1"/>
      <c r="D14" s="1"/>
      <c r="E14" s="1"/>
      <c r="F14" s="1"/>
      <c r="G14" s="671"/>
    </row>
    <row r="15" spans="2:7" ht="13.5" thickBot="1">
      <c r="B15" s="673" t="s">
        <v>301</v>
      </c>
      <c r="C15" s="674">
        <f>C10+C11+C12+C13</f>
        <v>10323.605055638012</v>
      </c>
      <c r="D15" s="674">
        <f>D10+D11+D12+D13</f>
        <v>18152.044980656374</v>
      </c>
      <c r="E15" s="674">
        <f>E10+E11+E12+E13</f>
        <v>18212.247926577413</v>
      </c>
      <c r="F15" s="674">
        <f>F10+F11+F12+F13</f>
        <v>18576.594734846338</v>
      </c>
      <c r="G15" s="675">
        <f>G10+G11+G12+G13</f>
        <v>18586.976102388864</v>
      </c>
    </row>
    <row r="18" spans="2:7" ht="18">
      <c r="B18" s="695" t="s">
        <v>291</v>
      </c>
      <c r="C18" s="695"/>
      <c r="D18" s="695"/>
      <c r="E18" s="695"/>
      <c r="F18" s="695"/>
      <c r="G18" s="695"/>
    </row>
    <row r="19" spans="2:7" ht="13.5" thickBot="1"/>
    <row r="20" spans="2:7" ht="13.5" thickBot="1">
      <c r="B20" s="688"/>
      <c r="C20" s="689" t="s">
        <v>284</v>
      </c>
      <c r="D20" s="689" t="s">
        <v>285</v>
      </c>
      <c r="E20" s="689" t="s">
        <v>286</v>
      </c>
      <c r="F20" s="689" t="s">
        <v>287</v>
      </c>
      <c r="G20" s="690" t="s">
        <v>288</v>
      </c>
    </row>
    <row r="21" spans="2:7">
      <c r="B21" s="670"/>
      <c r="C21" s="1" t="s">
        <v>293</v>
      </c>
      <c r="D21" s="1"/>
      <c r="E21" s="1"/>
      <c r="F21" s="1"/>
      <c r="G21" s="671"/>
    </row>
    <row r="22" spans="2:7">
      <c r="B22" s="670" t="s">
        <v>295</v>
      </c>
      <c r="C22" s="1">
        <f>C5</f>
        <v>116967.86121267325</v>
      </c>
      <c r="D22" s="1">
        <f>D5</f>
        <v>117973.72596574033</v>
      </c>
      <c r="E22" s="1">
        <f>E5</f>
        <v>118357.11548613408</v>
      </c>
      <c r="F22" s="1">
        <f>F5</f>
        <v>118715.42057214785</v>
      </c>
      <c r="G22" s="671">
        <f>G5</f>
        <v>118977.83271876522</v>
      </c>
    </row>
    <row r="23" spans="2:7" s="680" customFormat="1">
      <c r="B23" s="683" t="s">
        <v>290</v>
      </c>
      <c r="C23" s="681">
        <f>C6*0.72</f>
        <v>9.7588799999999989E-2</v>
      </c>
      <c r="D23" s="681">
        <f>C23</f>
        <v>9.7588799999999989E-2</v>
      </c>
      <c r="E23" s="681">
        <f t="shared" ref="E23:G23" si="2">D23</f>
        <v>9.7588799999999989E-2</v>
      </c>
      <c r="F23" s="681">
        <f t="shared" si="2"/>
        <v>9.7588799999999989E-2</v>
      </c>
      <c r="G23" s="682">
        <f t="shared" si="2"/>
        <v>9.7588799999999989E-2</v>
      </c>
    </row>
    <row r="24" spans="2:7">
      <c r="B24" s="670" t="s">
        <v>296</v>
      </c>
      <c r="C24" s="1">
        <f>C22*C23*7/12</f>
        <v>6658.6060416816072</v>
      </c>
      <c r="D24" s="1">
        <f t="shared" ref="D24:G24" si="3">D22*D23</f>
        <v>11512.914348525439</v>
      </c>
      <c r="E24" s="1">
        <f t="shared" si="3"/>
        <v>11550.32887175324</v>
      </c>
      <c r="F24" s="1">
        <f t="shared" si="3"/>
        <v>11585.29543513122</v>
      </c>
      <c r="G24" s="671">
        <f t="shared" si="3"/>
        <v>11610.903921625033</v>
      </c>
    </row>
    <row r="25" spans="2:7">
      <c r="B25" s="670"/>
      <c r="C25" s="1"/>
      <c r="D25" s="1"/>
      <c r="E25" s="1"/>
      <c r="F25" s="1"/>
      <c r="G25" s="671"/>
    </row>
    <row r="26" spans="2:7">
      <c r="B26" s="672" t="s">
        <v>294</v>
      </c>
      <c r="C26" s="1"/>
      <c r="D26" s="1"/>
      <c r="E26" s="1"/>
      <c r="F26" s="1"/>
      <c r="G26" s="671"/>
    </row>
    <row r="27" spans="2:7">
      <c r="B27" s="670" t="s">
        <v>297</v>
      </c>
      <c r="C27" s="1">
        <f>C10</f>
        <v>2695.1518146829549</v>
      </c>
      <c r="D27" s="1">
        <f>D10</f>
        <v>4778.9345177499554</v>
      </c>
      <c r="E27" s="1">
        <f>E10</f>
        <v>4843.7280807042334</v>
      </c>
      <c r="F27" s="1">
        <f>F10</f>
        <v>5117.9079637269942</v>
      </c>
      <c r="G27" s="671">
        <f>G10</f>
        <v>5151.5839802951568</v>
      </c>
    </row>
    <row r="28" spans="2:7">
      <c r="B28" s="670" t="s">
        <v>298</v>
      </c>
      <c r="C28" s="1">
        <f>C24</f>
        <v>6658.6060416816072</v>
      </c>
      <c r="D28" s="1">
        <f t="shared" ref="D28:G28" si="4">D24</f>
        <v>11512.914348525439</v>
      </c>
      <c r="E28" s="1">
        <f t="shared" si="4"/>
        <v>11550.32887175324</v>
      </c>
      <c r="F28" s="1">
        <f t="shared" si="4"/>
        <v>11585.29543513122</v>
      </c>
      <c r="G28" s="671">
        <f t="shared" si="4"/>
        <v>11610.903921625033</v>
      </c>
    </row>
    <row r="29" spans="2:7">
      <c r="B29" s="670" t="s">
        <v>303</v>
      </c>
      <c r="C29" s="1">
        <f>0.28/0.72*(C28+C12+C13)</f>
        <v>1959.6092972775882</v>
      </c>
      <c r="D29" s="1">
        <f t="shared" ref="D29:G29" si="5">0.28/0.72*(D28+D12+D13)</f>
        <v>3459.5034421248843</v>
      </c>
      <c r="E29" s="1">
        <f t="shared" si="5"/>
        <v>3452.0598329139257</v>
      </c>
      <c r="F29" s="1">
        <f t="shared" si="5"/>
        <v>3481.8365951839746</v>
      </c>
      <c r="G29" s="671">
        <f t="shared" si="5"/>
        <v>3468.9046766178421</v>
      </c>
    </row>
    <row r="30" spans="2:7">
      <c r="B30" s="670" t="s">
        <v>299</v>
      </c>
      <c r="C30" s="1">
        <f t="shared" ref="C30:G31" si="6">C12</f>
        <v>-1427.6081949847762</v>
      </c>
      <c r="D30" s="1">
        <f t="shared" si="6"/>
        <v>-2425.0458436498466</v>
      </c>
      <c r="E30" s="1">
        <f t="shared" si="6"/>
        <v>-2481.6010762772557</v>
      </c>
      <c r="F30" s="1">
        <f t="shared" si="6"/>
        <v>-2439.9988223893961</v>
      </c>
      <c r="G30" s="671">
        <f t="shared" si="6"/>
        <v>-2498.8608137675496</v>
      </c>
    </row>
    <row r="31" spans="2:7">
      <c r="B31" s="670" t="s">
        <v>300</v>
      </c>
      <c r="C31" s="1">
        <f t="shared" si="6"/>
        <v>-192.002510840177</v>
      </c>
      <c r="D31" s="1">
        <f t="shared" si="6"/>
        <v>-192.002510840177</v>
      </c>
      <c r="E31" s="1">
        <f t="shared" si="6"/>
        <v>-192.002510840177</v>
      </c>
      <c r="F31" s="1">
        <f t="shared" si="6"/>
        <v>-192.002510840177</v>
      </c>
      <c r="G31" s="671">
        <f t="shared" si="6"/>
        <v>-192.002510840177</v>
      </c>
    </row>
    <row r="32" spans="2:7">
      <c r="B32" s="670"/>
      <c r="C32" s="1"/>
      <c r="D32" s="1"/>
      <c r="E32" s="1"/>
      <c r="F32" s="1"/>
      <c r="G32" s="671"/>
    </row>
    <row r="33" spans="2:7" ht="13.5" thickBot="1">
      <c r="B33" s="673" t="s">
        <v>301</v>
      </c>
      <c r="C33" s="674">
        <f>C27+C28+C29+C30+C31</f>
        <v>9693.7564478171971</v>
      </c>
      <c r="D33" s="674">
        <f t="shared" ref="D33:G33" si="7">D27+D28+D29+D30+D31</f>
        <v>17134.303953910257</v>
      </c>
      <c r="E33" s="674">
        <f t="shared" si="7"/>
        <v>17172.513198253964</v>
      </c>
      <c r="F33" s="674">
        <f t="shared" si="7"/>
        <v>17553.038660812614</v>
      </c>
      <c r="G33" s="675">
        <f t="shared" si="7"/>
        <v>17540.529253930305</v>
      </c>
    </row>
    <row r="36" spans="2:7" ht="18">
      <c r="B36" s="695" t="s">
        <v>292</v>
      </c>
      <c r="C36" s="695"/>
      <c r="D36" s="695"/>
      <c r="E36" s="695"/>
      <c r="F36" s="695"/>
      <c r="G36" s="695"/>
    </row>
    <row r="37" spans="2:7" ht="13.5" thickBot="1"/>
    <row r="38" spans="2:7" ht="13.5" thickBot="1">
      <c r="B38" s="688"/>
      <c r="C38" s="689" t="s">
        <v>284</v>
      </c>
      <c r="D38" s="689" t="s">
        <v>285</v>
      </c>
      <c r="E38" s="689" t="s">
        <v>286</v>
      </c>
      <c r="F38" s="689" t="s">
        <v>287</v>
      </c>
      <c r="G38" s="690" t="s">
        <v>288</v>
      </c>
    </row>
    <row r="39" spans="2:7">
      <c r="B39" s="691"/>
      <c r="C39" s="692" t="s">
        <v>293</v>
      </c>
      <c r="D39" s="692"/>
      <c r="E39" s="692"/>
      <c r="F39" s="692"/>
      <c r="G39" s="693"/>
    </row>
    <row r="40" spans="2:7">
      <c r="B40" s="670" t="s">
        <v>295</v>
      </c>
      <c r="C40" s="1">
        <f>C22</f>
        <v>116967.86121267325</v>
      </c>
      <c r="D40" s="1">
        <f t="shared" ref="D40:G40" si="8">D22</f>
        <v>117973.72596574033</v>
      </c>
      <c r="E40" s="1">
        <f t="shared" si="8"/>
        <v>118357.11548613408</v>
      </c>
      <c r="F40" s="1">
        <f t="shared" si="8"/>
        <v>118715.42057214785</v>
      </c>
      <c r="G40" s="671">
        <f t="shared" si="8"/>
        <v>118977.83271876522</v>
      </c>
    </row>
    <row r="41" spans="2:7" s="680" customFormat="1">
      <c r="B41" s="683" t="s">
        <v>290</v>
      </c>
      <c r="C41" s="681">
        <f>C6</f>
        <v>0.13553999999999999</v>
      </c>
      <c r="D41" s="681">
        <f>C41</f>
        <v>0.13553999999999999</v>
      </c>
      <c r="E41" s="681">
        <f t="shared" ref="E41:G41" si="9">D41</f>
        <v>0.13553999999999999</v>
      </c>
      <c r="F41" s="681">
        <f t="shared" si="9"/>
        <v>0.13553999999999999</v>
      </c>
      <c r="G41" s="682">
        <f t="shared" si="9"/>
        <v>0.13553999999999999</v>
      </c>
    </row>
    <row r="42" spans="2:7">
      <c r="B42" s="670" t="s">
        <v>296</v>
      </c>
      <c r="C42" s="1">
        <f>C40*C41*7/12</f>
        <v>9248.0639467800102</v>
      </c>
      <c r="D42" s="1">
        <f t="shared" ref="D42:G42" si="10">D40*D41</f>
        <v>15990.158817396445</v>
      </c>
      <c r="E42" s="1">
        <f t="shared" si="10"/>
        <v>16042.123432990613</v>
      </c>
      <c r="F42" s="1">
        <f t="shared" si="10"/>
        <v>16090.688104348919</v>
      </c>
      <c r="G42" s="671">
        <f t="shared" si="10"/>
        <v>16126.255446701436</v>
      </c>
    </row>
    <row r="43" spans="2:7">
      <c r="B43" s="670"/>
      <c r="C43" s="1"/>
      <c r="D43" s="1"/>
      <c r="E43" s="1"/>
      <c r="F43" s="1"/>
      <c r="G43" s="671"/>
    </row>
    <row r="44" spans="2:7">
      <c r="B44" s="672" t="s">
        <v>294</v>
      </c>
      <c r="C44" s="1"/>
      <c r="D44" s="1"/>
      <c r="E44" s="1"/>
      <c r="F44" s="1"/>
      <c r="G44" s="671"/>
    </row>
    <row r="45" spans="2:7">
      <c r="B45" s="670" t="s">
        <v>297</v>
      </c>
      <c r="C45" s="1">
        <f>C27</f>
        <v>2695.1518146829549</v>
      </c>
      <c r="D45" s="1">
        <f t="shared" ref="D45:G45" si="11">D27</f>
        <v>4778.9345177499554</v>
      </c>
      <c r="E45" s="1">
        <f t="shared" si="11"/>
        <v>4843.7280807042334</v>
      </c>
      <c r="F45" s="1">
        <f t="shared" si="11"/>
        <v>5117.9079637269942</v>
      </c>
      <c r="G45" s="671">
        <f t="shared" si="11"/>
        <v>5151.5839802951568</v>
      </c>
    </row>
    <row r="46" spans="2:7">
      <c r="B46" s="670" t="s">
        <v>298</v>
      </c>
      <c r="C46" s="1">
        <f>C42</f>
        <v>9248.0639467800102</v>
      </c>
      <c r="D46" s="1">
        <f t="shared" ref="D46:G46" si="12">D42</f>
        <v>15990.158817396445</v>
      </c>
      <c r="E46" s="1">
        <f t="shared" si="12"/>
        <v>16042.123432990613</v>
      </c>
      <c r="F46" s="1">
        <f t="shared" si="12"/>
        <v>16090.688104348919</v>
      </c>
      <c r="G46" s="671">
        <f t="shared" si="12"/>
        <v>16126.255446701436</v>
      </c>
    </row>
    <row r="47" spans="2:7">
      <c r="B47" s="670" t="s">
        <v>299</v>
      </c>
      <c r="C47" s="1">
        <f t="shared" ref="C47:G48" si="13">C12/0.72</f>
        <v>-1982.7891597010782</v>
      </c>
      <c r="D47" s="1">
        <f t="shared" si="13"/>
        <v>-3368.1192272914536</v>
      </c>
      <c r="E47" s="1">
        <f t="shared" si="13"/>
        <v>-3446.6681614961885</v>
      </c>
      <c r="F47" s="1">
        <f t="shared" si="13"/>
        <v>-3388.8872533186059</v>
      </c>
      <c r="G47" s="671">
        <f t="shared" si="13"/>
        <v>-3470.6400191215967</v>
      </c>
    </row>
    <row r="48" spans="2:7">
      <c r="B48" s="670" t="s">
        <v>300</v>
      </c>
      <c r="C48" s="1">
        <f t="shared" si="13"/>
        <v>-266.6701539446903</v>
      </c>
      <c r="D48" s="1">
        <f t="shared" si="13"/>
        <v>-266.6701539446903</v>
      </c>
      <c r="E48" s="1">
        <f t="shared" si="13"/>
        <v>-266.6701539446903</v>
      </c>
      <c r="F48" s="1">
        <f t="shared" si="13"/>
        <v>-266.6701539446903</v>
      </c>
      <c r="G48" s="671">
        <f t="shared" si="13"/>
        <v>-266.6701539446903</v>
      </c>
    </row>
    <row r="49" spans="2:7">
      <c r="B49" s="670"/>
      <c r="C49" s="1"/>
      <c r="D49" s="1"/>
      <c r="E49" s="1"/>
      <c r="F49" s="1"/>
      <c r="G49" s="671"/>
    </row>
    <row r="50" spans="2:7" ht="13.5" thickBot="1">
      <c r="B50" s="673" t="s">
        <v>301</v>
      </c>
      <c r="C50" s="674">
        <f>SUM(C45:C48)</f>
        <v>9693.7564478171971</v>
      </c>
      <c r="D50" s="674">
        <f>SUM(D45:D48)</f>
        <v>17134.303953910257</v>
      </c>
      <c r="E50" s="674">
        <f>SUM(E45:E48)</f>
        <v>17172.513198253968</v>
      </c>
      <c r="F50" s="674">
        <f>SUM(F45:F48)</f>
        <v>17553.038660812617</v>
      </c>
      <c r="G50" s="675">
        <f>SUM(G45:G48)</f>
        <v>17540.529253930305</v>
      </c>
    </row>
    <row r="51" spans="2:7" ht="13.5" thickBot="1">
      <c r="B51" s="1"/>
      <c r="C51" s="1"/>
      <c r="D51" s="1"/>
      <c r="E51" s="1"/>
      <c r="F51" s="1"/>
      <c r="G51" s="1"/>
    </row>
    <row r="52" spans="2:7" ht="13.5" thickBot="1">
      <c r="B52" s="676" t="s">
        <v>302</v>
      </c>
      <c r="C52" s="677">
        <f>C15-C33</f>
        <v>629.84860782081523</v>
      </c>
      <c r="D52" s="677">
        <f t="shared" ref="D52:G52" si="14">D15-D33</f>
        <v>1017.7410267461164</v>
      </c>
      <c r="E52" s="677">
        <f t="shared" si="14"/>
        <v>1039.7347283234485</v>
      </c>
      <c r="F52" s="677">
        <f t="shared" si="14"/>
        <v>1023.5560740337241</v>
      </c>
      <c r="G52" s="678">
        <f t="shared" si="14"/>
        <v>1046.4468484585595</v>
      </c>
    </row>
    <row r="53" spans="2:7" ht="13.5" thickBot="1"/>
    <row r="54" spans="2:7" ht="13.5" thickBot="1">
      <c r="B54" s="676" t="s">
        <v>23</v>
      </c>
      <c r="C54" s="677"/>
      <c r="D54" s="677"/>
      <c r="E54" s="677"/>
      <c r="F54" s="677"/>
      <c r="G54" s="678">
        <f>SUM(C52:G52)</f>
        <v>4757.3272853826638</v>
      </c>
    </row>
  </sheetData>
  <mergeCells count="3">
    <mergeCell ref="B1:G1"/>
    <mergeCell ref="B18:G18"/>
    <mergeCell ref="B36:G36"/>
  </mergeCells>
  <pageMargins left="0.7" right="0.7" top="0.75" bottom="0.75" header="0.3" footer="0.3"/>
  <pageSetup paperSize="9" scale="8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31" zoomScaleNormal="100" workbookViewId="0">
      <selection activeCell="K31" sqref="K31"/>
    </sheetView>
  </sheetViews>
  <sheetFormatPr defaultRowHeight="12.75"/>
  <cols>
    <col min="2" max="2" width="30.7109375" customWidth="1"/>
    <col min="3" max="7" width="13" customWidth="1"/>
    <col min="8" max="8" width="9.7109375" bestFit="1" customWidth="1"/>
  </cols>
  <sheetData>
    <row r="1" spans="2:7" ht="18">
      <c r="B1" s="695" t="s">
        <v>289</v>
      </c>
      <c r="C1" s="695"/>
      <c r="D1" s="695"/>
      <c r="E1" s="695"/>
      <c r="F1" s="695"/>
      <c r="G1" s="695"/>
    </row>
    <row r="2" spans="2:7" ht="13.5" thickBot="1"/>
    <row r="3" spans="2:7" ht="13.5" thickBot="1">
      <c r="B3" s="688"/>
      <c r="C3" s="689" t="s">
        <v>284</v>
      </c>
      <c r="D3" s="689" t="s">
        <v>285</v>
      </c>
      <c r="E3" s="689" t="s">
        <v>286</v>
      </c>
      <c r="F3" s="689" t="s">
        <v>287</v>
      </c>
      <c r="G3" s="690" t="s">
        <v>288</v>
      </c>
    </row>
    <row r="4" spans="2:7">
      <c r="B4" s="670"/>
      <c r="C4" s="1" t="s">
        <v>293</v>
      </c>
      <c r="D4" s="1"/>
      <c r="E4" s="1"/>
      <c r="F4" s="1"/>
      <c r="G4" s="671"/>
    </row>
    <row r="5" spans="2:7">
      <c r="B5" s="670" t="s">
        <v>295</v>
      </c>
      <c r="C5" s="1">
        <f>('TERM DOM - JET'!O64)/1000</f>
        <v>82410.775911909863</v>
      </c>
      <c r="D5" s="1">
        <f>('TERM DOM - JET'!P64)/1000</f>
        <v>81081.025679397848</v>
      </c>
      <c r="E5" s="1">
        <f>('TERM DOM - JET'!Q64)/1000</f>
        <v>79587.108236805405</v>
      </c>
      <c r="F5" s="1">
        <f>('TERM DOM - JET'!R64)/1000</f>
        <v>78055.55619865995</v>
      </c>
      <c r="G5" s="671">
        <f>('TERM DOM - JET'!S64)/1000</f>
        <v>76507.70080457053</v>
      </c>
    </row>
    <row r="6" spans="2:7">
      <c r="B6" s="687" t="s">
        <v>290</v>
      </c>
      <c r="C6" s="685">
        <v>0.13553999999999999</v>
      </c>
      <c r="D6" s="685">
        <f>C6</f>
        <v>0.13553999999999999</v>
      </c>
      <c r="E6" s="685">
        <f t="shared" ref="E6:G6" si="0">D6</f>
        <v>0.13553999999999999</v>
      </c>
      <c r="F6" s="685">
        <f t="shared" si="0"/>
        <v>0.13553999999999999</v>
      </c>
      <c r="G6" s="686">
        <f t="shared" si="0"/>
        <v>0.13553999999999999</v>
      </c>
    </row>
    <row r="7" spans="2:7">
      <c r="B7" s="670" t="s">
        <v>296</v>
      </c>
      <c r="C7" s="1">
        <f>C5*C6*7/12</f>
        <v>6515.8079974751527</v>
      </c>
      <c r="D7" s="1">
        <f>D5*D6</f>
        <v>10989.722220585583</v>
      </c>
      <c r="E7" s="1">
        <f>E5*E6</f>
        <v>10787.236650416604</v>
      </c>
      <c r="F7" s="1">
        <f>F5*F6</f>
        <v>10579.650087166368</v>
      </c>
      <c r="G7" s="671">
        <f>G5*G6</f>
        <v>10369.853767051489</v>
      </c>
    </row>
    <row r="8" spans="2:7">
      <c r="B8" s="670"/>
      <c r="C8" s="1"/>
      <c r="D8" s="1"/>
      <c r="E8" s="1"/>
      <c r="F8" s="1"/>
      <c r="G8" s="671"/>
    </row>
    <row r="9" spans="2:7">
      <c r="B9" s="672" t="s">
        <v>294</v>
      </c>
      <c r="C9" s="1"/>
      <c r="D9" s="1"/>
      <c r="E9" s="1"/>
      <c r="F9" s="1"/>
      <c r="G9" s="671"/>
    </row>
    <row r="10" spans="2:7">
      <c r="B10" s="670" t="s">
        <v>297</v>
      </c>
      <c r="C10" s="1">
        <f>('TERM DOM - JET'!O82)/1000</f>
        <v>1919.789836798464</v>
      </c>
      <c r="D10" s="1">
        <f>('TERM DOM - JET'!P82)/1000</f>
        <v>3391.1761483965711</v>
      </c>
      <c r="E10" s="1">
        <f>('TERM DOM - JET'!Q82)/1000</f>
        <v>3432.0768205038335</v>
      </c>
      <c r="F10" s="1">
        <f>('TERM DOM - JET'!R82)/1000</f>
        <v>3458.2364356923513</v>
      </c>
      <c r="G10" s="671">
        <f>('TERM DOM - JET'!S82)/1000</f>
        <v>3483.4387123073898</v>
      </c>
    </row>
    <row r="11" spans="2:7">
      <c r="B11" s="670" t="s">
        <v>298</v>
      </c>
      <c r="C11" s="1">
        <f>C7</f>
        <v>6515.8079974751527</v>
      </c>
      <c r="D11" s="1">
        <f>D7</f>
        <v>10989.722220585583</v>
      </c>
      <c r="E11" s="1">
        <f t="shared" ref="E11:G11" si="1">E7</f>
        <v>10787.236650416604</v>
      </c>
      <c r="F11" s="1">
        <f t="shared" si="1"/>
        <v>10579.650087166368</v>
      </c>
      <c r="G11" s="671">
        <f t="shared" si="1"/>
        <v>10369.853767051489</v>
      </c>
    </row>
    <row r="12" spans="2:7">
      <c r="B12" s="670" t="s">
        <v>299</v>
      </c>
      <c r="C12" s="1">
        <f>('TERM DOM - JET'!O84)/1000</f>
        <v>-997.47986514608556</v>
      </c>
      <c r="D12" s="1">
        <f>('TERM DOM - JET'!P84)/1000</f>
        <v>-1686.4594893193439</v>
      </c>
      <c r="E12" s="1">
        <f>('TERM DOM - JET'!Q84)/1000</f>
        <v>-1658.1652189353479</v>
      </c>
      <c r="F12" s="1">
        <f>('TERM DOM - JET'!R84)/1000</f>
        <v>-1628.7856849042503</v>
      </c>
      <c r="G12" s="671">
        <f>('TERM DOM - JET'!S84)/1000</f>
        <v>-1600.9485811248464</v>
      </c>
    </row>
    <row r="13" spans="2:7">
      <c r="B13" s="670" t="s">
        <v>300</v>
      </c>
      <c r="C13" s="1">
        <f>('TERM DOM - JET'!O85)/1000</f>
        <v>-772.89000426793712</v>
      </c>
      <c r="D13" s="1">
        <f>('TERM DOM - JET'!P85)/1000</f>
        <v>-772.89000426793712</v>
      </c>
      <c r="E13" s="1">
        <f>('TERM DOM - JET'!Q85)/1000</f>
        <v>-772.89000426793712</v>
      </c>
      <c r="F13" s="1">
        <f>('TERM DOM - JET'!R85)/1000</f>
        <v>-772.89000426793712</v>
      </c>
      <c r="G13" s="671">
        <f>('TERM DOM - JET'!S85)/1000</f>
        <v>-772.89000426793712</v>
      </c>
    </row>
    <row r="14" spans="2:7">
      <c r="B14" s="670"/>
      <c r="C14" s="1"/>
      <c r="D14" s="1"/>
      <c r="E14" s="1"/>
      <c r="F14" s="1"/>
      <c r="G14" s="671"/>
    </row>
    <row r="15" spans="2:7" ht="13.5" thickBot="1">
      <c r="B15" s="673" t="s">
        <v>301</v>
      </c>
      <c r="C15" s="674">
        <f>C10+C11+C12+C13</f>
        <v>6665.2279648595932</v>
      </c>
      <c r="D15" s="674">
        <f>D10+D11+D12+D13</f>
        <v>11921.548875394872</v>
      </c>
      <c r="E15" s="674">
        <f>E10+E11+E12+E13</f>
        <v>11788.258247717151</v>
      </c>
      <c r="F15" s="674">
        <f>F10+F11+F12+F13</f>
        <v>11636.210833686531</v>
      </c>
      <c r="G15" s="675">
        <f>G10+G11+G12+G13</f>
        <v>11479.453893966094</v>
      </c>
    </row>
    <row r="18" spans="2:7" ht="18">
      <c r="B18" s="695" t="s">
        <v>291</v>
      </c>
      <c r="C18" s="695"/>
      <c r="D18" s="695"/>
      <c r="E18" s="695"/>
      <c r="F18" s="695"/>
      <c r="G18" s="695"/>
    </row>
    <row r="19" spans="2:7" ht="13.5" thickBot="1"/>
    <row r="20" spans="2:7" ht="13.5" thickBot="1">
      <c r="B20" s="688"/>
      <c r="C20" s="689" t="s">
        <v>284</v>
      </c>
      <c r="D20" s="689" t="s">
        <v>285</v>
      </c>
      <c r="E20" s="689" t="s">
        <v>286</v>
      </c>
      <c r="F20" s="689" t="s">
        <v>287</v>
      </c>
      <c r="G20" s="690" t="s">
        <v>288</v>
      </c>
    </row>
    <row r="21" spans="2:7">
      <c r="B21" s="670"/>
      <c r="C21" s="1" t="s">
        <v>293</v>
      </c>
      <c r="D21" s="1"/>
      <c r="E21" s="1"/>
      <c r="F21" s="1"/>
      <c r="G21" s="671"/>
    </row>
    <row r="22" spans="2:7">
      <c r="B22" s="670" t="s">
        <v>295</v>
      </c>
      <c r="C22" s="1">
        <f>C5</f>
        <v>82410.775911909863</v>
      </c>
      <c r="D22" s="1">
        <f>D5</f>
        <v>81081.025679397848</v>
      </c>
      <c r="E22" s="1">
        <f>E5</f>
        <v>79587.108236805405</v>
      </c>
      <c r="F22" s="1">
        <f>F5</f>
        <v>78055.55619865995</v>
      </c>
      <c r="G22" s="671">
        <f>G5</f>
        <v>76507.70080457053</v>
      </c>
    </row>
    <row r="23" spans="2:7">
      <c r="B23" s="683" t="s">
        <v>290</v>
      </c>
      <c r="C23" s="681">
        <f>C6*0.72</f>
        <v>9.7588799999999989E-2</v>
      </c>
      <c r="D23" s="681">
        <f>C23</f>
        <v>9.7588799999999989E-2</v>
      </c>
      <c r="E23" s="681">
        <f t="shared" ref="E23:G23" si="2">D23</f>
        <v>9.7588799999999989E-2</v>
      </c>
      <c r="F23" s="681">
        <f t="shared" si="2"/>
        <v>9.7588799999999989E-2</v>
      </c>
      <c r="G23" s="682">
        <f t="shared" si="2"/>
        <v>9.7588799999999989E-2</v>
      </c>
    </row>
    <row r="24" spans="2:7">
      <c r="B24" s="670" t="s">
        <v>296</v>
      </c>
      <c r="C24" s="1">
        <f>C22*C23*7/12</f>
        <v>4691.3817581821095</v>
      </c>
      <c r="D24" s="1">
        <f t="shared" ref="D24:G24" si="3">D22*D23</f>
        <v>7912.5999988216199</v>
      </c>
      <c r="E24" s="1">
        <f t="shared" si="3"/>
        <v>7766.8103882999549</v>
      </c>
      <c r="F24" s="1">
        <f t="shared" si="3"/>
        <v>7617.3480627597855</v>
      </c>
      <c r="G24" s="671">
        <f t="shared" si="3"/>
        <v>7466.294712277072</v>
      </c>
    </row>
    <row r="25" spans="2:7">
      <c r="B25" s="670"/>
      <c r="C25" s="1"/>
      <c r="D25" s="1"/>
      <c r="E25" s="1"/>
      <c r="F25" s="1"/>
      <c r="G25" s="671"/>
    </row>
    <row r="26" spans="2:7">
      <c r="B26" s="672" t="s">
        <v>294</v>
      </c>
      <c r="C26" s="1"/>
      <c r="D26" s="1"/>
      <c r="E26" s="1"/>
      <c r="F26" s="1"/>
      <c r="G26" s="671"/>
    </row>
    <row r="27" spans="2:7">
      <c r="B27" s="670" t="s">
        <v>297</v>
      </c>
      <c r="C27" s="1">
        <f>C10</f>
        <v>1919.789836798464</v>
      </c>
      <c r="D27" s="1">
        <f>D10</f>
        <v>3391.1761483965711</v>
      </c>
      <c r="E27" s="1">
        <f>E10</f>
        <v>3432.0768205038335</v>
      </c>
      <c r="F27" s="1">
        <f>F10</f>
        <v>3458.2364356923513</v>
      </c>
      <c r="G27" s="671">
        <f>G10</f>
        <v>3483.4387123073898</v>
      </c>
    </row>
    <row r="28" spans="2:7">
      <c r="B28" s="670" t="s">
        <v>298</v>
      </c>
      <c r="C28" s="1">
        <f>C24</f>
        <v>4691.3817581821095</v>
      </c>
      <c r="D28" s="1">
        <f t="shared" ref="D28:G28" si="4">D24</f>
        <v>7912.5999988216199</v>
      </c>
      <c r="E28" s="1">
        <f t="shared" si="4"/>
        <v>7766.8103882999549</v>
      </c>
      <c r="F28" s="1">
        <f t="shared" si="4"/>
        <v>7617.3480627597855</v>
      </c>
      <c r="G28" s="671">
        <f t="shared" si="4"/>
        <v>7466.294712277072</v>
      </c>
    </row>
    <row r="29" spans="2:7">
      <c r="B29" s="670" t="s">
        <v>303</v>
      </c>
      <c r="C29" s="1">
        <f>0.28/0.72*(C28+C12+C13)</f>
        <v>1135.9490678542561</v>
      </c>
      <c r="D29" s="1">
        <f t="shared" ref="D29:G29" si="5">0.28/0.72*(D28+D12+D13)</f>
        <v>2120.7085298133547</v>
      </c>
      <c r="E29" s="1">
        <f t="shared" si="5"/>
        <v>2075.0158975375944</v>
      </c>
      <c r="F29" s="1">
        <f t="shared" si="5"/>
        <v>2028.3170341729553</v>
      </c>
      <c r="G29" s="671">
        <f t="shared" si="5"/>
        <v>1980.3996048994461</v>
      </c>
    </row>
    <row r="30" spans="2:7">
      <c r="B30" s="670" t="s">
        <v>299</v>
      </c>
      <c r="C30" s="1">
        <f t="shared" ref="C30:G31" si="6">C12</f>
        <v>-997.47986514608556</v>
      </c>
      <c r="D30" s="1">
        <f t="shared" si="6"/>
        <v>-1686.4594893193439</v>
      </c>
      <c r="E30" s="1">
        <f t="shared" si="6"/>
        <v>-1658.1652189353479</v>
      </c>
      <c r="F30" s="1">
        <f t="shared" si="6"/>
        <v>-1628.7856849042503</v>
      </c>
      <c r="G30" s="671">
        <f t="shared" si="6"/>
        <v>-1600.9485811248464</v>
      </c>
    </row>
    <row r="31" spans="2:7">
      <c r="B31" s="670" t="s">
        <v>300</v>
      </c>
      <c r="C31" s="1">
        <f t="shared" si="6"/>
        <v>-772.89000426793712</v>
      </c>
      <c r="D31" s="1">
        <f t="shared" si="6"/>
        <v>-772.89000426793712</v>
      </c>
      <c r="E31" s="1">
        <f t="shared" si="6"/>
        <v>-772.89000426793712</v>
      </c>
      <c r="F31" s="1">
        <f t="shared" si="6"/>
        <v>-772.89000426793712</v>
      </c>
      <c r="G31" s="671">
        <f t="shared" si="6"/>
        <v>-772.89000426793712</v>
      </c>
    </row>
    <row r="32" spans="2:7">
      <c r="B32" s="670"/>
      <c r="C32" s="1"/>
      <c r="D32" s="1"/>
      <c r="E32" s="1"/>
      <c r="F32" s="1"/>
      <c r="G32" s="671"/>
    </row>
    <row r="33" spans="2:7" ht="13.5" thickBot="1">
      <c r="B33" s="673" t="s">
        <v>301</v>
      </c>
      <c r="C33" s="674">
        <f>C27+C28+C29+C30+C31</f>
        <v>5976.750793420807</v>
      </c>
      <c r="D33" s="674">
        <f t="shared" ref="D33:G33" si="7">D27+D28+D29+D30+D31</f>
        <v>10965.135183444265</v>
      </c>
      <c r="E33" s="674">
        <f t="shared" si="7"/>
        <v>10842.847883138096</v>
      </c>
      <c r="F33" s="674">
        <f t="shared" si="7"/>
        <v>10702.225843452903</v>
      </c>
      <c r="G33" s="675">
        <f t="shared" si="7"/>
        <v>10556.294444091123</v>
      </c>
    </row>
    <row r="36" spans="2:7" ht="18">
      <c r="B36" s="695" t="s">
        <v>292</v>
      </c>
      <c r="C36" s="695"/>
      <c r="D36" s="695"/>
      <c r="E36" s="695"/>
      <c r="F36" s="695"/>
      <c r="G36" s="695"/>
    </row>
    <row r="37" spans="2:7" ht="13.5" thickBot="1"/>
    <row r="38" spans="2:7" ht="13.5" thickBot="1">
      <c r="B38" s="688"/>
      <c r="C38" s="689" t="s">
        <v>284</v>
      </c>
      <c r="D38" s="689" t="s">
        <v>285</v>
      </c>
      <c r="E38" s="689" t="s">
        <v>286</v>
      </c>
      <c r="F38" s="689" t="s">
        <v>287</v>
      </c>
      <c r="G38" s="690" t="s">
        <v>288</v>
      </c>
    </row>
    <row r="39" spans="2:7">
      <c r="B39" s="691"/>
      <c r="C39" s="692" t="s">
        <v>293</v>
      </c>
      <c r="D39" s="692"/>
      <c r="E39" s="692"/>
      <c r="F39" s="692"/>
      <c r="G39" s="693"/>
    </row>
    <row r="40" spans="2:7">
      <c r="B40" s="670" t="s">
        <v>295</v>
      </c>
      <c r="C40" s="1">
        <f>C22</f>
        <v>82410.775911909863</v>
      </c>
      <c r="D40" s="1">
        <f t="shared" ref="D40:G40" si="8">D22</f>
        <v>81081.025679397848</v>
      </c>
      <c r="E40" s="1">
        <f t="shared" si="8"/>
        <v>79587.108236805405</v>
      </c>
      <c r="F40" s="1">
        <f t="shared" si="8"/>
        <v>78055.55619865995</v>
      </c>
      <c r="G40" s="671">
        <f t="shared" si="8"/>
        <v>76507.70080457053</v>
      </c>
    </row>
    <row r="41" spans="2:7" s="680" customFormat="1">
      <c r="B41" s="683" t="s">
        <v>290</v>
      </c>
      <c r="C41" s="681">
        <f>C6</f>
        <v>0.13553999999999999</v>
      </c>
      <c r="D41" s="681">
        <f>C41</f>
        <v>0.13553999999999999</v>
      </c>
      <c r="E41" s="681">
        <f t="shared" ref="E41:G41" si="9">D41</f>
        <v>0.13553999999999999</v>
      </c>
      <c r="F41" s="681">
        <f t="shared" si="9"/>
        <v>0.13553999999999999</v>
      </c>
      <c r="G41" s="682">
        <f t="shared" si="9"/>
        <v>0.13553999999999999</v>
      </c>
    </row>
    <row r="42" spans="2:7">
      <c r="B42" s="670" t="s">
        <v>296</v>
      </c>
      <c r="C42" s="1">
        <f>C40*C41*7/12</f>
        <v>6515.8079974751527</v>
      </c>
      <c r="D42" s="1">
        <f t="shared" ref="D42:G42" si="10">D40*D41</f>
        <v>10989.722220585583</v>
      </c>
      <c r="E42" s="1">
        <f t="shared" si="10"/>
        <v>10787.236650416604</v>
      </c>
      <c r="F42" s="1">
        <f t="shared" si="10"/>
        <v>10579.650087166368</v>
      </c>
      <c r="G42" s="671">
        <f t="shared" si="10"/>
        <v>10369.853767051489</v>
      </c>
    </row>
    <row r="43" spans="2:7">
      <c r="B43" s="670"/>
      <c r="C43" s="1"/>
      <c r="D43" s="1"/>
      <c r="E43" s="1"/>
      <c r="F43" s="1"/>
      <c r="G43" s="671"/>
    </row>
    <row r="44" spans="2:7">
      <c r="B44" s="672" t="s">
        <v>294</v>
      </c>
      <c r="C44" s="1"/>
      <c r="D44" s="1"/>
      <c r="E44" s="1"/>
      <c r="F44" s="1"/>
      <c r="G44" s="671"/>
    </row>
    <row r="45" spans="2:7">
      <c r="B45" s="670" t="s">
        <v>297</v>
      </c>
      <c r="C45" s="1">
        <f>C27</f>
        <v>1919.789836798464</v>
      </c>
      <c r="D45" s="1">
        <f t="shared" ref="D45:G45" si="11">D27</f>
        <v>3391.1761483965711</v>
      </c>
      <c r="E45" s="1">
        <f t="shared" si="11"/>
        <v>3432.0768205038335</v>
      </c>
      <c r="F45" s="1">
        <f t="shared" si="11"/>
        <v>3458.2364356923513</v>
      </c>
      <c r="G45" s="671">
        <f t="shared" si="11"/>
        <v>3483.4387123073898</v>
      </c>
    </row>
    <row r="46" spans="2:7">
      <c r="B46" s="670" t="s">
        <v>298</v>
      </c>
      <c r="C46" s="1">
        <f>C42</f>
        <v>6515.8079974751527</v>
      </c>
      <c r="D46" s="1">
        <f t="shared" ref="D46:G46" si="12">D42</f>
        <v>10989.722220585583</v>
      </c>
      <c r="E46" s="1">
        <f t="shared" si="12"/>
        <v>10787.236650416604</v>
      </c>
      <c r="F46" s="1">
        <f t="shared" si="12"/>
        <v>10579.650087166368</v>
      </c>
      <c r="G46" s="671">
        <f t="shared" si="12"/>
        <v>10369.853767051489</v>
      </c>
    </row>
    <row r="47" spans="2:7">
      <c r="B47" s="670" t="s">
        <v>299</v>
      </c>
      <c r="C47" s="1">
        <f t="shared" ref="C47:G48" si="13">C12/0.72</f>
        <v>-1385.3887015917855</v>
      </c>
      <c r="D47" s="1">
        <f t="shared" si="13"/>
        <v>-2342.3048462768666</v>
      </c>
      <c r="E47" s="1">
        <f t="shared" si="13"/>
        <v>-2303.0072485213163</v>
      </c>
      <c r="F47" s="1">
        <f t="shared" si="13"/>
        <v>-2262.2023401447923</v>
      </c>
      <c r="G47" s="671">
        <f t="shared" si="13"/>
        <v>-2223.5396960067314</v>
      </c>
    </row>
    <row r="48" spans="2:7">
      <c r="B48" s="670" t="s">
        <v>300</v>
      </c>
      <c r="C48" s="1">
        <f t="shared" si="13"/>
        <v>-1073.4583392610239</v>
      </c>
      <c r="D48" s="1">
        <f t="shared" si="13"/>
        <v>-1073.4583392610239</v>
      </c>
      <c r="E48" s="1">
        <f t="shared" si="13"/>
        <v>-1073.4583392610239</v>
      </c>
      <c r="F48" s="1">
        <f t="shared" si="13"/>
        <v>-1073.4583392610239</v>
      </c>
      <c r="G48" s="671">
        <f t="shared" si="13"/>
        <v>-1073.4583392610239</v>
      </c>
    </row>
    <row r="49" spans="2:7">
      <c r="B49" s="670"/>
      <c r="C49" s="1"/>
      <c r="D49" s="1"/>
      <c r="E49" s="1"/>
      <c r="F49" s="1"/>
      <c r="G49" s="671"/>
    </row>
    <row r="50" spans="2:7" ht="13.5" thickBot="1">
      <c r="B50" s="673" t="s">
        <v>301</v>
      </c>
      <c r="C50" s="674">
        <f>SUM(C45:C48)</f>
        <v>5976.750793420807</v>
      </c>
      <c r="D50" s="674">
        <f>SUM(D45:D48)</f>
        <v>10965.135183444263</v>
      </c>
      <c r="E50" s="674">
        <f>SUM(E45:E48)</f>
        <v>10842.847883138096</v>
      </c>
      <c r="F50" s="674">
        <f>SUM(F45:F48)</f>
        <v>10702.225843452905</v>
      </c>
      <c r="G50" s="675">
        <f>SUM(G45:G48)</f>
        <v>10556.294444091123</v>
      </c>
    </row>
    <row r="51" spans="2:7" ht="13.5" thickBot="1">
      <c r="B51" s="1"/>
      <c r="C51" s="1"/>
      <c r="D51" s="1"/>
      <c r="E51" s="1"/>
      <c r="F51" s="1"/>
      <c r="G51" s="1"/>
    </row>
    <row r="52" spans="2:7" ht="13.5" thickBot="1">
      <c r="B52" s="676" t="s">
        <v>302</v>
      </c>
      <c r="C52" s="677">
        <f>C15-C33</f>
        <v>688.47717143878617</v>
      </c>
      <c r="D52" s="677">
        <f t="shared" ref="D52:G52" si="14">D15-D33</f>
        <v>956.41369195060724</v>
      </c>
      <c r="E52" s="677">
        <f t="shared" si="14"/>
        <v>945.41036457905466</v>
      </c>
      <c r="F52" s="677">
        <f t="shared" si="14"/>
        <v>933.9849902336282</v>
      </c>
      <c r="G52" s="678">
        <f t="shared" si="14"/>
        <v>923.15944987497096</v>
      </c>
    </row>
    <row r="53" spans="2:7" ht="13.5" thickBot="1"/>
    <row r="54" spans="2:7" ht="13.5" thickBot="1">
      <c r="B54" s="676" t="s">
        <v>23</v>
      </c>
      <c r="C54" s="677"/>
      <c r="D54" s="677"/>
      <c r="E54" s="677"/>
      <c r="F54" s="677"/>
      <c r="G54" s="678">
        <f>SUM(C52:G52)</f>
        <v>4447.4456680770472</v>
      </c>
    </row>
  </sheetData>
  <mergeCells count="3">
    <mergeCell ref="B1:G1"/>
    <mergeCell ref="B18:G18"/>
    <mergeCell ref="B36:G36"/>
  </mergeCells>
  <pageMargins left="0.7" right="0.7" top="0.75" bottom="0.75" header="0.3" footer="0.3"/>
  <pageSetup paperSize="9" scale="91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6" zoomScaleNormal="100" workbookViewId="0">
      <selection activeCell="J44" sqref="J44:J45"/>
    </sheetView>
  </sheetViews>
  <sheetFormatPr defaultRowHeight="12.75"/>
  <cols>
    <col min="2" max="2" width="30.7109375" customWidth="1"/>
    <col min="3" max="7" width="13" customWidth="1"/>
    <col min="8" max="8" width="10.7109375" bestFit="1" customWidth="1"/>
  </cols>
  <sheetData>
    <row r="1" spans="2:7" ht="18">
      <c r="B1" s="695" t="s">
        <v>289</v>
      </c>
      <c r="C1" s="695"/>
      <c r="D1" s="695"/>
      <c r="E1" s="695"/>
      <c r="F1" s="695"/>
      <c r="G1" s="695"/>
    </row>
    <row r="2" spans="2:7" ht="13.5" thickBot="1"/>
    <row r="3" spans="2:7" ht="13.5" thickBot="1">
      <c r="B3" s="688"/>
      <c r="C3" s="689" t="s">
        <v>284</v>
      </c>
      <c r="D3" s="689" t="s">
        <v>285</v>
      </c>
      <c r="E3" s="689" t="s">
        <v>286</v>
      </c>
      <c r="F3" s="689" t="s">
        <v>287</v>
      </c>
      <c r="G3" s="690" t="s">
        <v>288</v>
      </c>
    </row>
    <row r="4" spans="2:7">
      <c r="B4" s="670"/>
      <c r="C4" s="1" t="s">
        <v>293</v>
      </c>
      <c r="D4" s="1"/>
      <c r="E4" s="1"/>
      <c r="F4" s="1"/>
      <c r="G4" s="671"/>
    </row>
    <row r="5" spans="2:7">
      <c r="B5" s="670" t="s">
        <v>295</v>
      </c>
      <c r="C5" s="1">
        <f>('TERM DOM'!O66)/1000</f>
        <v>12674.404217036739</v>
      </c>
      <c r="D5" s="1">
        <f>('TERM DOM'!P66)/1000</f>
        <v>12492.80144115182</v>
      </c>
      <c r="E5" s="1">
        <f>('TERM DOM'!Q66)/1000</f>
        <v>12287.5999196864</v>
      </c>
      <c r="F5" s="1">
        <f>('TERM DOM'!R66)/1000</f>
        <v>12073.818275154084</v>
      </c>
      <c r="G5" s="671">
        <f>('TERM DOM'!S66)/1000</f>
        <v>11858.446773428228</v>
      </c>
    </row>
    <row r="6" spans="2:7">
      <c r="B6" s="684" t="s">
        <v>290</v>
      </c>
      <c r="C6" s="685">
        <v>0.13553999999999999</v>
      </c>
      <c r="D6" s="685">
        <f>C6</f>
        <v>0.13553999999999999</v>
      </c>
      <c r="E6" s="685">
        <f t="shared" ref="E6:G6" si="0">D6</f>
        <v>0.13553999999999999</v>
      </c>
      <c r="F6" s="685">
        <f t="shared" si="0"/>
        <v>0.13553999999999999</v>
      </c>
      <c r="G6" s="686">
        <f t="shared" si="0"/>
        <v>0.13553999999999999</v>
      </c>
    </row>
    <row r="7" spans="2:7">
      <c r="B7" s="670" t="s">
        <v>296</v>
      </c>
      <c r="C7" s="1">
        <f>C5*C6*7/12</f>
        <v>1002.1017694200099</v>
      </c>
      <c r="D7" s="1">
        <f>D5*D6</f>
        <v>1693.2743073337176</v>
      </c>
      <c r="E7" s="1">
        <f>E5*E6</f>
        <v>1665.4612931142944</v>
      </c>
      <c r="F7" s="1">
        <f>F5*F6</f>
        <v>1636.4853290143844</v>
      </c>
      <c r="G7" s="671">
        <f>G5*G6</f>
        <v>1607.2938756704621</v>
      </c>
    </row>
    <row r="8" spans="2:7">
      <c r="B8" s="670"/>
      <c r="C8" s="1"/>
      <c r="D8" s="1"/>
      <c r="E8" s="1"/>
      <c r="F8" s="1"/>
      <c r="G8" s="671"/>
    </row>
    <row r="9" spans="2:7">
      <c r="B9" s="672" t="s">
        <v>294</v>
      </c>
      <c r="C9" s="1"/>
      <c r="D9" s="1"/>
      <c r="E9" s="1"/>
      <c r="F9" s="1"/>
      <c r="G9" s="671"/>
    </row>
    <row r="10" spans="2:7">
      <c r="B10" s="670" t="s">
        <v>297</v>
      </c>
      <c r="C10" s="1">
        <f>('TERM DOM'!O85)/1000</f>
        <v>285.68835545574859</v>
      </c>
      <c r="D10" s="1">
        <f>('TERM DOM'!P85)/1000</f>
        <v>506.34900698098323</v>
      </c>
      <c r="E10" s="1">
        <f>('TERM DOM'!Q85/1000)</f>
        <v>514.05170081310121</v>
      </c>
      <c r="F10" s="1">
        <f>('TERM DOM'!R85)/1000</f>
        <v>519.61652118186896</v>
      </c>
      <c r="G10" s="671">
        <f>('TERM DOM'!S85)/1000</f>
        <v>526.38076714450676</v>
      </c>
    </row>
    <row r="11" spans="2:7">
      <c r="B11" s="670" t="s">
        <v>298</v>
      </c>
      <c r="C11" s="1">
        <f>C7</f>
        <v>1002.1017694200099</v>
      </c>
      <c r="D11" s="1">
        <f>D7</f>
        <v>1693.2743073337176</v>
      </c>
      <c r="E11" s="1">
        <f t="shared" ref="E11:G11" si="1">E7</f>
        <v>1665.4612931142944</v>
      </c>
      <c r="F11" s="1">
        <f t="shared" si="1"/>
        <v>1636.4853290143844</v>
      </c>
      <c r="G11" s="671">
        <f t="shared" si="1"/>
        <v>1607.2938756704621</v>
      </c>
    </row>
    <row r="12" spans="2:7">
      <c r="B12" s="670" t="s">
        <v>299</v>
      </c>
      <c r="C12" s="1">
        <f>('TERM DOM'!O87)/1000</f>
        <v>-155.41672100692097</v>
      </c>
      <c r="D12" s="1">
        <f>('TERM DOM'!P87)/1000</f>
        <v>-262.61119682566203</v>
      </c>
      <c r="E12" s="1">
        <f>('TERM DOM'!Q87)/1000</f>
        <v>-258.15565893382757</v>
      </c>
      <c r="F12" s="1">
        <f>('TERM DOM'!R87)/1000</f>
        <v>-253.54862741733123</v>
      </c>
      <c r="G12" s="671">
        <f>('TERM DOM'!S87)/1000</f>
        <v>-249.10024540713644</v>
      </c>
    </row>
    <row r="13" spans="2:7">
      <c r="B13" s="670" t="s">
        <v>300</v>
      </c>
      <c r="C13" s="1">
        <f>('TERM DOM'!O88)/1000</f>
        <v>-0.76653054105700569</v>
      </c>
      <c r="D13" s="1">
        <f>('TERM DOM'!P88)/1000</f>
        <v>-0.76653054105700569</v>
      </c>
      <c r="E13" s="1">
        <f>('TERM DOM'!Q88)/1000</f>
        <v>-0.76653054105700569</v>
      </c>
      <c r="F13" s="1">
        <f>('TERM DOM'!R88)/1000</f>
        <v>-0.76653054105700569</v>
      </c>
      <c r="G13" s="671">
        <f>('TERM DOM'!S88)/1000</f>
        <v>-0.76653054105700569</v>
      </c>
    </row>
    <row r="14" spans="2:7">
      <c r="B14" s="670"/>
      <c r="C14" s="1"/>
      <c r="D14" s="1"/>
      <c r="E14" s="1"/>
      <c r="F14" s="1"/>
      <c r="G14" s="671"/>
    </row>
    <row r="15" spans="2:7" ht="13.5" thickBot="1">
      <c r="B15" s="673" t="s">
        <v>301</v>
      </c>
      <c r="C15" s="674">
        <f>C10+C11+C12+C13</f>
        <v>1131.6068733277807</v>
      </c>
      <c r="D15" s="674">
        <f>D10+D11+D12+D13</f>
        <v>1936.245586947982</v>
      </c>
      <c r="E15" s="674">
        <f>E10+E11+E12+E13</f>
        <v>1920.5908044525113</v>
      </c>
      <c r="F15" s="674">
        <f>F10+F11+F12+F13</f>
        <v>1901.7866922378653</v>
      </c>
      <c r="G15" s="675">
        <f>G10+G11+G12+G13</f>
        <v>1883.8078668667756</v>
      </c>
    </row>
    <row r="18" spans="2:7" ht="18">
      <c r="B18" s="695" t="s">
        <v>291</v>
      </c>
      <c r="C18" s="695"/>
      <c r="D18" s="695"/>
      <c r="E18" s="695"/>
      <c r="F18" s="695"/>
      <c r="G18" s="695"/>
    </row>
    <row r="19" spans="2:7" ht="13.5" thickBot="1"/>
    <row r="20" spans="2:7" ht="13.5" thickBot="1">
      <c r="B20" s="688"/>
      <c r="C20" s="689" t="s">
        <v>284</v>
      </c>
      <c r="D20" s="689" t="s">
        <v>285</v>
      </c>
      <c r="E20" s="689" t="s">
        <v>286</v>
      </c>
      <c r="F20" s="689" t="s">
        <v>287</v>
      </c>
      <c r="G20" s="690" t="s">
        <v>288</v>
      </c>
    </row>
    <row r="21" spans="2:7">
      <c r="B21" s="670"/>
      <c r="C21" s="1" t="s">
        <v>293</v>
      </c>
      <c r="D21" s="1"/>
      <c r="E21" s="1"/>
      <c r="F21" s="1"/>
      <c r="G21" s="671"/>
    </row>
    <row r="22" spans="2:7">
      <c r="B22" s="670" t="s">
        <v>295</v>
      </c>
      <c r="C22" s="1">
        <f>C5</f>
        <v>12674.404217036739</v>
      </c>
      <c r="D22" s="1">
        <f>D5</f>
        <v>12492.80144115182</v>
      </c>
      <c r="E22" s="1">
        <f>E5</f>
        <v>12287.5999196864</v>
      </c>
      <c r="F22" s="1">
        <f>F5</f>
        <v>12073.818275154084</v>
      </c>
      <c r="G22" s="671">
        <f>G5</f>
        <v>11858.446773428228</v>
      </c>
    </row>
    <row r="23" spans="2:7">
      <c r="B23" s="670" t="s">
        <v>290</v>
      </c>
      <c r="C23" s="681">
        <f>C6*0.72</f>
        <v>9.7588799999999989E-2</v>
      </c>
      <c r="D23" s="681">
        <f>C23</f>
        <v>9.7588799999999989E-2</v>
      </c>
      <c r="E23" s="681">
        <f t="shared" ref="E23:G23" si="2">D23</f>
        <v>9.7588799999999989E-2</v>
      </c>
      <c r="F23" s="681">
        <f t="shared" si="2"/>
        <v>9.7588799999999989E-2</v>
      </c>
      <c r="G23" s="682">
        <f t="shared" si="2"/>
        <v>9.7588799999999989E-2</v>
      </c>
    </row>
    <row r="24" spans="2:7">
      <c r="B24" s="670" t="s">
        <v>296</v>
      </c>
      <c r="C24" s="1">
        <f>C22*C23*7/12</f>
        <v>721.51327398240699</v>
      </c>
      <c r="D24" s="1">
        <f t="shared" ref="D24:G24" si="3">D22*D23</f>
        <v>1219.1575012802766</v>
      </c>
      <c r="E24" s="1">
        <f t="shared" si="3"/>
        <v>1199.132131042292</v>
      </c>
      <c r="F24" s="1">
        <f t="shared" si="3"/>
        <v>1178.2694368903567</v>
      </c>
      <c r="G24" s="671">
        <f t="shared" si="3"/>
        <v>1157.2515904827326</v>
      </c>
    </row>
    <row r="25" spans="2:7">
      <c r="B25" s="670"/>
      <c r="C25" s="1"/>
      <c r="D25" s="1"/>
      <c r="E25" s="1"/>
      <c r="F25" s="1"/>
      <c r="G25" s="671"/>
    </row>
    <row r="26" spans="2:7">
      <c r="B26" s="672" t="s">
        <v>294</v>
      </c>
      <c r="C26" s="1"/>
      <c r="D26" s="1"/>
      <c r="E26" s="1"/>
      <c r="F26" s="1"/>
      <c r="G26" s="671"/>
    </row>
    <row r="27" spans="2:7">
      <c r="B27" s="670" t="s">
        <v>297</v>
      </c>
      <c r="C27" s="1">
        <f>C10</f>
        <v>285.68835545574859</v>
      </c>
      <c r="D27" s="1">
        <f>D10</f>
        <v>506.34900698098323</v>
      </c>
      <c r="E27" s="1">
        <f>E10</f>
        <v>514.05170081310121</v>
      </c>
      <c r="F27" s="1">
        <f>F10</f>
        <v>519.61652118186896</v>
      </c>
      <c r="G27" s="671">
        <f>G10</f>
        <v>526.38076714450676</v>
      </c>
    </row>
    <row r="28" spans="2:7">
      <c r="B28" s="670" t="s">
        <v>298</v>
      </c>
      <c r="C28" s="1">
        <f>C24</f>
        <v>721.51327398240699</v>
      </c>
      <c r="D28" s="1">
        <f t="shared" ref="D28:G28" si="4">D24</f>
        <v>1219.1575012802766</v>
      </c>
      <c r="E28" s="1">
        <f t="shared" si="4"/>
        <v>1199.132131042292</v>
      </c>
      <c r="F28" s="1">
        <f t="shared" si="4"/>
        <v>1178.2694368903567</v>
      </c>
      <c r="G28" s="671">
        <f t="shared" si="4"/>
        <v>1157.2515904827326</v>
      </c>
    </row>
    <row r="29" spans="2:7">
      <c r="B29" s="670" t="s">
        <v>303</v>
      </c>
      <c r="C29" s="1">
        <f>0.28/0.72*(C28+C12+C13)</f>
        <v>219.85056428005575</v>
      </c>
      <c r="D29" s="1">
        <f t="shared" ref="D29:G29" si="5">0.28/0.72*(D28+D12+D13)</f>
        <v>371.69213429971688</v>
      </c>
      <c r="E29" s="1">
        <f t="shared" si="5"/>
        <v>365.6371994984363</v>
      </c>
      <c r="F29" s="1">
        <f t="shared" si="5"/>
        <v>359.31555291798782</v>
      </c>
      <c r="G29" s="671">
        <f t="shared" si="5"/>
        <v>352.87187231898753</v>
      </c>
    </row>
    <row r="30" spans="2:7">
      <c r="B30" s="670" t="s">
        <v>299</v>
      </c>
      <c r="C30" s="1">
        <f t="shared" ref="C30:G31" si="6">C12</f>
        <v>-155.41672100692097</v>
      </c>
      <c r="D30" s="1">
        <f t="shared" si="6"/>
        <v>-262.61119682566203</v>
      </c>
      <c r="E30" s="1">
        <f t="shared" si="6"/>
        <v>-258.15565893382757</v>
      </c>
      <c r="F30" s="1">
        <f t="shared" si="6"/>
        <v>-253.54862741733123</v>
      </c>
      <c r="G30" s="671">
        <f t="shared" si="6"/>
        <v>-249.10024540713644</v>
      </c>
    </row>
    <row r="31" spans="2:7">
      <c r="B31" s="670" t="s">
        <v>300</v>
      </c>
      <c r="C31" s="1">
        <f t="shared" si="6"/>
        <v>-0.76653054105700569</v>
      </c>
      <c r="D31" s="1">
        <f t="shared" si="6"/>
        <v>-0.76653054105700569</v>
      </c>
      <c r="E31" s="1">
        <f t="shared" si="6"/>
        <v>-0.76653054105700569</v>
      </c>
      <c r="F31" s="1">
        <f t="shared" si="6"/>
        <v>-0.76653054105700569</v>
      </c>
      <c r="G31" s="671">
        <f t="shared" si="6"/>
        <v>-0.76653054105700569</v>
      </c>
    </row>
    <row r="32" spans="2:7">
      <c r="B32" s="670"/>
      <c r="C32" s="1"/>
      <c r="D32" s="1"/>
      <c r="E32" s="1"/>
      <c r="F32" s="1"/>
      <c r="G32" s="671"/>
    </row>
    <row r="33" spans="2:7" ht="13.5" thickBot="1">
      <c r="B33" s="673" t="s">
        <v>301</v>
      </c>
      <c r="C33" s="674">
        <f>C27+C28+C29+C30+C31</f>
        <v>1070.8689421702334</v>
      </c>
      <c r="D33" s="674">
        <f t="shared" ref="D33:G33" si="7">D27+D28+D29+D30+D31</f>
        <v>1833.8209151942576</v>
      </c>
      <c r="E33" s="674">
        <f t="shared" si="7"/>
        <v>1819.8988418789449</v>
      </c>
      <c r="F33" s="674">
        <f t="shared" si="7"/>
        <v>1802.8863530318249</v>
      </c>
      <c r="G33" s="675">
        <f t="shared" si="7"/>
        <v>1786.6374539980334</v>
      </c>
    </row>
    <row r="36" spans="2:7" ht="18">
      <c r="B36" s="695" t="s">
        <v>292</v>
      </c>
      <c r="C36" s="695"/>
      <c r="D36" s="695"/>
      <c r="E36" s="695"/>
      <c r="F36" s="695"/>
      <c r="G36" s="695"/>
    </row>
    <row r="37" spans="2:7" ht="13.5" thickBot="1"/>
    <row r="38" spans="2:7" ht="13.5" thickBot="1">
      <c r="B38" s="688"/>
      <c r="C38" s="689" t="s">
        <v>284</v>
      </c>
      <c r="D38" s="689" t="s">
        <v>285</v>
      </c>
      <c r="E38" s="689" t="s">
        <v>286</v>
      </c>
      <c r="F38" s="689" t="s">
        <v>287</v>
      </c>
      <c r="G38" s="690" t="s">
        <v>288</v>
      </c>
    </row>
    <row r="39" spans="2:7">
      <c r="B39" s="691"/>
      <c r="C39" s="692" t="s">
        <v>293</v>
      </c>
      <c r="D39" s="692"/>
      <c r="E39" s="692"/>
      <c r="F39" s="692"/>
      <c r="G39" s="693"/>
    </row>
    <row r="40" spans="2:7">
      <c r="B40" s="670" t="s">
        <v>295</v>
      </c>
      <c r="C40" s="1">
        <f>C22</f>
        <v>12674.404217036739</v>
      </c>
      <c r="D40" s="1">
        <f>D22</f>
        <v>12492.80144115182</v>
      </c>
      <c r="E40" s="1">
        <f>E22</f>
        <v>12287.5999196864</v>
      </c>
      <c r="F40" s="1">
        <f>F22</f>
        <v>12073.818275154084</v>
      </c>
      <c r="G40" s="671">
        <f>G22</f>
        <v>11858.446773428228</v>
      </c>
    </row>
    <row r="41" spans="2:7">
      <c r="B41" s="684" t="s">
        <v>290</v>
      </c>
      <c r="C41" s="685">
        <f>C6</f>
        <v>0.13553999999999999</v>
      </c>
      <c r="D41" s="685">
        <f>C41</f>
        <v>0.13553999999999999</v>
      </c>
      <c r="E41" s="685">
        <f t="shared" ref="E41:G41" si="8">D41</f>
        <v>0.13553999999999999</v>
      </c>
      <c r="F41" s="685">
        <f t="shared" si="8"/>
        <v>0.13553999999999999</v>
      </c>
      <c r="G41" s="686">
        <f t="shared" si="8"/>
        <v>0.13553999999999999</v>
      </c>
    </row>
    <row r="42" spans="2:7">
      <c r="B42" s="670" t="s">
        <v>296</v>
      </c>
      <c r="C42" s="1">
        <f>C40*C41*7/12</f>
        <v>1002.1017694200099</v>
      </c>
      <c r="D42" s="1">
        <f>D40*D41</f>
        <v>1693.2743073337176</v>
      </c>
      <c r="E42" s="1">
        <f t="shared" ref="E42:G42" si="9">E40*E41</f>
        <v>1665.4612931142944</v>
      </c>
      <c r="F42" s="1">
        <f t="shared" si="9"/>
        <v>1636.4853290143844</v>
      </c>
      <c r="G42" s="671">
        <f t="shared" si="9"/>
        <v>1607.2938756704621</v>
      </c>
    </row>
    <row r="43" spans="2:7">
      <c r="B43" s="670"/>
      <c r="C43" s="1"/>
      <c r="D43" s="1"/>
      <c r="E43" s="1"/>
      <c r="F43" s="1"/>
      <c r="G43" s="671"/>
    </row>
    <row r="44" spans="2:7">
      <c r="B44" s="672" t="s">
        <v>294</v>
      </c>
      <c r="C44" s="1"/>
      <c r="D44" s="1"/>
      <c r="E44" s="1"/>
      <c r="F44" s="1"/>
      <c r="G44" s="671"/>
    </row>
    <row r="45" spans="2:7">
      <c r="B45" s="670" t="s">
        <v>297</v>
      </c>
      <c r="C45" s="1">
        <f>C27</f>
        <v>285.68835545574859</v>
      </c>
      <c r="D45" s="1">
        <f>D27</f>
        <v>506.34900698098323</v>
      </c>
      <c r="E45" s="1">
        <f>E27</f>
        <v>514.05170081310121</v>
      </c>
      <c r="F45" s="1">
        <f>F27</f>
        <v>519.61652118186896</v>
      </c>
      <c r="G45" s="671">
        <f>G27</f>
        <v>526.38076714450676</v>
      </c>
    </row>
    <row r="46" spans="2:7">
      <c r="B46" s="670" t="s">
        <v>298</v>
      </c>
      <c r="C46" s="1">
        <f>C42</f>
        <v>1002.1017694200099</v>
      </c>
      <c r="D46" s="1">
        <f t="shared" ref="D46:G46" si="10">D42</f>
        <v>1693.2743073337176</v>
      </c>
      <c r="E46" s="1">
        <f t="shared" si="10"/>
        <v>1665.4612931142944</v>
      </c>
      <c r="F46" s="1">
        <f t="shared" si="10"/>
        <v>1636.4853290143844</v>
      </c>
      <c r="G46" s="671">
        <f t="shared" si="10"/>
        <v>1607.2938756704621</v>
      </c>
    </row>
    <row r="47" spans="2:7">
      <c r="B47" s="670" t="s">
        <v>299</v>
      </c>
      <c r="C47" s="1">
        <f t="shared" ref="C47:G48" si="11">C12/0.72</f>
        <v>-215.85655695405691</v>
      </c>
      <c r="D47" s="1">
        <f t="shared" si="11"/>
        <v>-364.73777336897507</v>
      </c>
      <c r="E47" s="1">
        <f t="shared" si="11"/>
        <v>-358.54952629698272</v>
      </c>
      <c r="F47" s="1">
        <f t="shared" si="11"/>
        <v>-352.15087141296004</v>
      </c>
      <c r="G47" s="671">
        <f t="shared" si="11"/>
        <v>-345.97256306546728</v>
      </c>
    </row>
    <row r="48" spans="2:7">
      <c r="B48" s="670" t="s">
        <v>300</v>
      </c>
      <c r="C48" s="1">
        <f t="shared" si="11"/>
        <v>-1.0646257514680635</v>
      </c>
      <c r="D48" s="1">
        <f t="shared" si="11"/>
        <v>-1.0646257514680635</v>
      </c>
      <c r="E48" s="1">
        <f t="shared" si="11"/>
        <v>-1.0646257514680635</v>
      </c>
      <c r="F48" s="1">
        <f t="shared" si="11"/>
        <v>-1.0646257514680635</v>
      </c>
      <c r="G48" s="671">
        <f t="shared" si="11"/>
        <v>-1.0646257514680635</v>
      </c>
    </row>
    <row r="49" spans="2:7">
      <c r="B49" s="670"/>
      <c r="C49" s="1"/>
      <c r="D49" s="1"/>
      <c r="E49" s="1"/>
      <c r="F49" s="1"/>
      <c r="G49" s="671"/>
    </row>
    <row r="50" spans="2:7" ht="13.5" thickBot="1">
      <c r="B50" s="673" t="s">
        <v>301</v>
      </c>
      <c r="C50" s="674">
        <f>SUM(C45:C48)</f>
        <v>1070.8689421702334</v>
      </c>
      <c r="D50" s="674">
        <f>SUM(D45:D48)</f>
        <v>1833.8209151942579</v>
      </c>
      <c r="E50" s="674">
        <f>SUM(E45:E48)</f>
        <v>1819.8988418789447</v>
      </c>
      <c r="F50" s="674">
        <f>SUM(F45:F48)</f>
        <v>1802.8863530318254</v>
      </c>
      <c r="G50" s="675">
        <f>SUM(G45:G48)</f>
        <v>1786.6374539980336</v>
      </c>
    </row>
    <row r="51" spans="2:7" ht="13.5" thickBot="1">
      <c r="B51" s="1"/>
      <c r="C51" s="1"/>
      <c r="D51" s="1"/>
      <c r="E51" s="1"/>
      <c r="F51" s="1"/>
      <c r="G51" s="1"/>
    </row>
    <row r="52" spans="2:7" ht="13.5" thickBot="1">
      <c r="B52" s="676" t="s">
        <v>302</v>
      </c>
      <c r="C52" s="677">
        <f>C15-C33</f>
        <v>60.737931157547337</v>
      </c>
      <c r="D52" s="677">
        <f t="shared" ref="D52:G52" si="12">D15-D33</f>
        <v>102.4246717537244</v>
      </c>
      <c r="E52" s="677">
        <f t="shared" si="12"/>
        <v>100.69196257356634</v>
      </c>
      <c r="F52" s="677">
        <f t="shared" si="12"/>
        <v>98.900339206040371</v>
      </c>
      <c r="G52" s="678">
        <f t="shared" si="12"/>
        <v>97.170412868742233</v>
      </c>
    </row>
    <row r="53" spans="2:7" ht="13.5" thickBot="1"/>
    <row r="54" spans="2:7" ht="13.5" thickBot="1">
      <c r="B54" s="676" t="s">
        <v>23</v>
      </c>
      <c r="C54" s="677"/>
      <c r="D54" s="677"/>
      <c r="E54" s="677"/>
      <c r="F54" s="677"/>
      <c r="G54" s="678">
        <f>SUM(C52:G52)</f>
        <v>459.92531755962068</v>
      </c>
    </row>
  </sheetData>
  <mergeCells count="3">
    <mergeCell ref="B1:G1"/>
    <mergeCell ref="B18:G18"/>
    <mergeCell ref="B36:G36"/>
  </mergeCells>
  <pageMargins left="0.7" right="0.7" top="0.75" bottom="0.75" header="0.3" footer="0.3"/>
  <pageSetup paperSize="9" scale="83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6"/>
  <sheetViews>
    <sheetView tabSelected="1" topLeftCell="A21" workbookViewId="0">
      <selection activeCell="H36" sqref="H36"/>
    </sheetView>
  </sheetViews>
  <sheetFormatPr defaultRowHeight="12.75"/>
  <cols>
    <col min="2" max="2" width="30.7109375" customWidth="1"/>
    <col min="3" max="7" width="13" customWidth="1"/>
    <col min="8" max="8" width="10.7109375" bestFit="1" customWidth="1"/>
  </cols>
  <sheetData>
    <row r="1" spans="2:7" ht="18">
      <c r="B1" s="696" t="s">
        <v>289</v>
      </c>
      <c r="C1" s="696"/>
      <c r="D1" s="696"/>
      <c r="E1" s="696"/>
      <c r="F1" s="696"/>
      <c r="G1" s="696"/>
    </row>
    <row r="2" spans="2:7" ht="13.5" thickBot="1"/>
    <row r="3" spans="2:7" ht="13.5" thickBot="1">
      <c r="B3" s="688"/>
      <c r="C3" s="689" t="s">
        <v>284</v>
      </c>
      <c r="D3" s="689" t="s">
        <v>285</v>
      </c>
      <c r="E3" s="689" t="s">
        <v>286</v>
      </c>
      <c r="F3" s="689" t="s">
        <v>287</v>
      </c>
      <c r="G3" s="690" t="s">
        <v>288</v>
      </c>
    </row>
    <row r="4" spans="2:7">
      <c r="B4" s="670"/>
      <c r="C4" s="679" t="s">
        <v>293</v>
      </c>
      <c r="D4" s="1"/>
      <c r="E4" s="1"/>
      <c r="F4" s="1"/>
      <c r="G4" s="671"/>
    </row>
    <row r="5" spans="2:7">
      <c r="B5" s="670" t="s">
        <v>295</v>
      </c>
      <c r="C5" s="1">
        <f>('BARNZ Airfield'!C5+'BARNZ int term'!C5+'BARNZ DJ term'!C5+'BARNZ TP term'!C5)</f>
        <v>415491.34136193688</v>
      </c>
      <c r="D5" s="1">
        <f>('BARNZ Airfield'!D5+'BARNZ int term'!D5+'BARNZ DJ term'!D5+'BARNZ TP term'!D5)</f>
        <v>434972.25575953996</v>
      </c>
      <c r="E5" s="1">
        <f>('BARNZ Airfield'!E5+'BARNZ int term'!E5+'BARNZ DJ term'!E5+'BARNZ TP term'!E5)</f>
        <v>441156.6987493331</v>
      </c>
      <c r="F5" s="1">
        <f>('BARNZ Airfield'!F5+'BARNZ int term'!F5+'BARNZ DJ term'!F5+'BARNZ TP term'!F5)</f>
        <v>444623.56753314857</v>
      </c>
      <c r="G5" s="671">
        <f>('BARNZ Airfield'!G5+'BARNZ int term'!G5+'BARNZ DJ term'!G5+'BARNZ TP term'!G5)</f>
        <v>448553.16012017603</v>
      </c>
    </row>
    <row r="6" spans="2:7">
      <c r="B6" s="683" t="s">
        <v>290</v>
      </c>
      <c r="C6" s="681">
        <v>0.13553999999999999</v>
      </c>
      <c r="D6" s="681">
        <f>C6</f>
        <v>0.13553999999999999</v>
      </c>
      <c r="E6" s="681">
        <f t="shared" ref="E6:G6" si="0">D6</f>
        <v>0.13553999999999999</v>
      </c>
      <c r="F6" s="681">
        <f t="shared" si="0"/>
        <v>0.13553999999999999</v>
      </c>
      <c r="G6" s="682">
        <f t="shared" si="0"/>
        <v>0.13553999999999999</v>
      </c>
    </row>
    <row r="7" spans="2:7">
      <c r="B7" s="670" t="s">
        <v>296</v>
      </c>
      <c r="C7" s="1">
        <f>C5*C6*7/12</f>
        <v>32850.822904781533</v>
      </c>
      <c r="D7" s="1">
        <f>D5*D6</f>
        <v>58956.139545648046</v>
      </c>
      <c r="E7" s="1">
        <f>E5*E6</f>
        <v>59794.378948484606</v>
      </c>
      <c r="F7" s="1">
        <f>F5*F6</f>
        <v>60264.278343442951</v>
      </c>
      <c r="G7" s="671">
        <f>G5*G6</f>
        <v>60796.895322688659</v>
      </c>
    </row>
    <row r="8" spans="2:7">
      <c r="B8" s="670"/>
      <c r="C8" s="1"/>
      <c r="D8" s="1"/>
      <c r="E8" s="1"/>
      <c r="F8" s="1"/>
      <c r="G8" s="671"/>
    </row>
    <row r="9" spans="2:7">
      <c r="B9" s="672" t="s">
        <v>294</v>
      </c>
      <c r="C9" s="1"/>
      <c r="D9" s="1"/>
      <c r="E9" s="1"/>
      <c r="F9" s="1"/>
      <c r="G9" s="671"/>
    </row>
    <row r="10" spans="2:7">
      <c r="B10" s="670" t="s">
        <v>297</v>
      </c>
      <c r="C10" s="1">
        <f>('BARNZ Airfield'!C10+'BARNZ int term'!C10+'BARNZ DJ term'!C10+'BARNZ TP term'!C10)</f>
        <v>8036.9711353541979</v>
      </c>
      <c r="D10" s="1">
        <f>('BARNZ Airfield'!D10+'BARNZ int term'!D10+'BARNZ DJ term'!D10+'BARNZ TP term'!D10)</f>
        <v>14592.48291029642</v>
      </c>
      <c r="E10" s="1">
        <f>('BARNZ Airfield'!E10+'BARNZ int term'!E10+'BARNZ DJ term'!E10+'BARNZ TP term'!E10)</f>
        <v>15001.621884357786</v>
      </c>
      <c r="F10" s="1">
        <f>('BARNZ Airfield'!F10+'BARNZ int term'!F10+'BARNZ DJ term'!F10+'BARNZ TP term'!F10)</f>
        <v>15579.074316431985</v>
      </c>
      <c r="G10" s="671">
        <f>('BARNZ Airfield'!G10+'BARNZ int term'!G10+'BARNZ DJ term'!G10+'BARNZ TP term'!G10)</f>
        <v>15960.582396507825</v>
      </c>
    </row>
    <row r="11" spans="2:7">
      <c r="B11" s="670" t="s">
        <v>298</v>
      </c>
      <c r="C11" s="1">
        <f>C7</f>
        <v>32850.822904781533</v>
      </c>
      <c r="D11" s="1">
        <f t="shared" ref="D11:G11" si="1">D7</f>
        <v>58956.139545648046</v>
      </c>
      <c r="E11" s="1">
        <f t="shared" si="1"/>
        <v>59794.378948484606</v>
      </c>
      <c r="F11" s="1">
        <f t="shared" si="1"/>
        <v>60264.278343442951</v>
      </c>
      <c r="G11" s="671">
        <f t="shared" si="1"/>
        <v>60796.895322688659</v>
      </c>
    </row>
    <row r="12" spans="2:7">
      <c r="B12" s="670" t="s">
        <v>299</v>
      </c>
      <c r="C12" s="1">
        <f>('BARNZ Airfield'!C12+'BARNZ int term'!C12+'BARNZ DJ term'!C12+'BARNZ TP term'!C12)</f>
        <v>-4827.8867279181177</v>
      </c>
      <c r="D12" s="1">
        <f>('BARNZ Airfield'!D12+'BARNZ int term'!D12+'BARNZ DJ term'!D12+'BARNZ TP term'!D12)</f>
        <v>-8861.9323739210577</v>
      </c>
      <c r="E12" s="1">
        <f>('BARNZ Airfield'!E12+'BARNZ int term'!E12+'BARNZ DJ term'!E12+'BARNZ TP term'!E12)</f>
        <v>-9097.8479877390582</v>
      </c>
      <c r="F12" s="1">
        <f>('BARNZ Airfield'!F12+'BARNZ int term'!F12+'BARNZ DJ term'!F12+'BARNZ TP term'!F12)</f>
        <v>-9135.3785092032213</v>
      </c>
      <c r="G12" s="671">
        <f>('BARNZ Airfield'!G12+'BARNZ int term'!G12+'BARNZ DJ term'!G12+'BARNZ TP term'!G12)</f>
        <v>-9265.845987711753</v>
      </c>
    </row>
    <row r="13" spans="2:7">
      <c r="B13" s="670" t="s">
        <v>300</v>
      </c>
      <c r="C13" s="1">
        <f>('BARNZ Airfield'!C13+'BARNZ int term'!C13+'BARNZ DJ term'!C13+'BARNZ TP term'!C13)</f>
        <v>-9643.5420939257347</v>
      </c>
      <c r="D13" s="1">
        <f>('BARNZ Airfield'!D13+'BARNZ int term'!D13+'BARNZ DJ term'!D13+'BARNZ TP term'!D13)</f>
        <v>-9643.5420939257347</v>
      </c>
      <c r="E13" s="1">
        <f>('BARNZ Airfield'!E13+'BARNZ int term'!E13+'BARNZ DJ term'!E13+'BARNZ TP term'!E13)</f>
        <v>-9643.5420939257347</v>
      </c>
      <c r="F13" s="1">
        <f>('BARNZ Airfield'!F13+'BARNZ int term'!F13+'BARNZ DJ term'!F13+'BARNZ TP term'!F13)</f>
        <v>-9643.5420939257347</v>
      </c>
      <c r="G13" s="671">
        <f>('BARNZ Airfield'!G13+'BARNZ int term'!G13+'BARNZ DJ term'!G13+'BARNZ TP term'!G13)</f>
        <v>-9643.5420939257347</v>
      </c>
    </row>
    <row r="14" spans="2:7">
      <c r="B14" s="670"/>
      <c r="C14" s="1"/>
      <c r="D14" s="1"/>
      <c r="E14" s="1"/>
      <c r="F14" s="1"/>
      <c r="G14" s="671"/>
    </row>
    <row r="15" spans="2:7" ht="13.5" thickBot="1">
      <c r="B15" s="673" t="s">
        <v>301</v>
      </c>
      <c r="C15" s="674">
        <f>C10+C11+C12+C13</f>
        <v>26416.365218291885</v>
      </c>
      <c r="D15" s="674">
        <f>D10+D11+D12+D13</f>
        <v>55043.147988097669</v>
      </c>
      <c r="E15" s="674">
        <f>E10+E11+E12+E13</f>
        <v>56054.610751177592</v>
      </c>
      <c r="F15" s="674">
        <f>F10+F11+F12+F13</f>
        <v>57064.43205674598</v>
      </c>
      <c r="G15" s="675">
        <f>G10+G11+G12+G13</f>
        <v>57848.089637558995</v>
      </c>
    </row>
    <row r="18" spans="2:7" ht="18">
      <c r="B18" s="696" t="s">
        <v>291</v>
      </c>
      <c r="C18" s="696"/>
      <c r="D18" s="696"/>
      <c r="E18" s="696"/>
      <c r="F18" s="696"/>
      <c r="G18" s="696"/>
    </row>
    <row r="19" spans="2:7" ht="13.5" thickBot="1"/>
    <row r="20" spans="2:7" ht="13.5" thickBot="1">
      <c r="B20" s="688"/>
      <c r="C20" s="689" t="s">
        <v>284</v>
      </c>
      <c r="D20" s="689" t="s">
        <v>285</v>
      </c>
      <c r="E20" s="689" t="s">
        <v>286</v>
      </c>
      <c r="F20" s="689" t="s">
        <v>287</v>
      </c>
      <c r="G20" s="690" t="s">
        <v>288</v>
      </c>
    </row>
    <row r="21" spans="2:7">
      <c r="B21" s="670"/>
      <c r="C21" s="679" t="s">
        <v>293</v>
      </c>
      <c r="D21" s="1"/>
      <c r="E21" s="1"/>
      <c r="F21" s="1"/>
      <c r="G21" s="671"/>
    </row>
    <row r="22" spans="2:7">
      <c r="B22" s="670" t="s">
        <v>295</v>
      </c>
      <c r="C22" s="1">
        <f>C5</f>
        <v>415491.34136193688</v>
      </c>
      <c r="D22" s="1">
        <f>D5</f>
        <v>434972.25575953996</v>
      </c>
      <c r="E22" s="1">
        <f>E5</f>
        <v>441156.6987493331</v>
      </c>
      <c r="F22" s="1">
        <f>F5</f>
        <v>444623.56753314857</v>
      </c>
      <c r="G22" s="671">
        <f>G5</f>
        <v>448553.16012017603</v>
      </c>
    </row>
    <row r="23" spans="2:7">
      <c r="B23" s="683" t="s">
        <v>290</v>
      </c>
      <c r="C23" s="681">
        <f>C6*0.72</f>
        <v>9.7588799999999989E-2</v>
      </c>
      <c r="D23" s="681">
        <f>C23</f>
        <v>9.7588799999999989E-2</v>
      </c>
      <c r="E23" s="681">
        <f t="shared" ref="E23:G23" si="2">D23</f>
        <v>9.7588799999999989E-2</v>
      </c>
      <c r="F23" s="681">
        <f t="shared" si="2"/>
        <v>9.7588799999999989E-2</v>
      </c>
      <c r="G23" s="682">
        <f t="shared" si="2"/>
        <v>9.7588799999999989E-2</v>
      </c>
    </row>
    <row r="24" spans="2:7">
      <c r="B24" s="670" t="s">
        <v>296</v>
      </c>
      <c r="C24" s="1">
        <f>C22*C23*7/12</f>
        <v>23652.592491442705</v>
      </c>
      <c r="D24" s="1">
        <f t="shared" ref="D24:G24" si="3">D22*D23</f>
        <v>42448.420472866586</v>
      </c>
      <c r="E24" s="1">
        <f t="shared" si="3"/>
        <v>43051.952842908911</v>
      </c>
      <c r="F24" s="1">
        <f t="shared" si="3"/>
        <v>43390.280407278922</v>
      </c>
      <c r="G24" s="671">
        <f t="shared" si="3"/>
        <v>43773.764632335828</v>
      </c>
    </row>
    <row r="25" spans="2:7">
      <c r="B25" s="670"/>
      <c r="C25" s="1"/>
      <c r="D25" s="1"/>
      <c r="E25" s="1"/>
      <c r="F25" s="1"/>
      <c r="G25" s="671"/>
    </row>
    <row r="26" spans="2:7">
      <c r="B26" s="672" t="s">
        <v>294</v>
      </c>
      <c r="C26" s="1"/>
      <c r="D26" s="1"/>
      <c r="E26" s="1"/>
      <c r="F26" s="1"/>
      <c r="G26" s="671"/>
    </row>
    <row r="27" spans="2:7">
      <c r="B27" s="670" t="s">
        <v>297</v>
      </c>
      <c r="C27" s="1">
        <f>C10</f>
        <v>8036.9711353541979</v>
      </c>
      <c r="D27" s="1">
        <f>D10</f>
        <v>14592.48291029642</v>
      </c>
      <c r="E27" s="1">
        <f>E10</f>
        <v>15001.621884357786</v>
      </c>
      <c r="F27" s="1">
        <f>F10</f>
        <v>15579.074316431985</v>
      </c>
      <c r="G27" s="671">
        <f>G10</f>
        <v>15960.582396507825</v>
      </c>
    </row>
    <row r="28" spans="2:7">
      <c r="B28" s="670" t="s">
        <v>298</v>
      </c>
      <c r="C28" s="1">
        <f>C24</f>
        <v>23652.592491442705</v>
      </c>
      <c r="D28" s="1">
        <f t="shared" ref="D28:G28" si="4">D24</f>
        <v>42448.420472866586</v>
      </c>
      <c r="E28" s="1">
        <f t="shared" si="4"/>
        <v>43051.952842908911</v>
      </c>
      <c r="F28" s="1">
        <f t="shared" si="4"/>
        <v>43390.280407278922</v>
      </c>
      <c r="G28" s="671">
        <f t="shared" si="4"/>
        <v>43773.764632335828</v>
      </c>
    </row>
    <row r="29" spans="2:7">
      <c r="B29" s="670" t="s">
        <v>303</v>
      </c>
      <c r="C29" s="1">
        <f>0.28/0.72*(C28+C12+C13)</f>
        <v>3570.4525381773324</v>
      </c>
      <c r="D29" s="1">
        <f>0.28/0.72*(D28+D12+D13)</f>
        <v>9311.1456686188103</v>
      </c>
      <c r="E29" s="1">
        <f>0.28/0.72*(E28+E12+E13)</f>
        <v>9454.1077404838252</v>
      </c>
      <c r="F29" s="1">
        <f>0.28/0.72*(F28+F12+F13)</f>
        <v>9571.0843682805444</v>
      </c>
      <c r="G29" s="671">
        <f>0.28/0.72*(G28+G12+G13)</f>
        <v>9669.4797697160247</v>
      </c>
    </row>
    <row r="30" spans="2:7">
      <c r="B30" s="670" t="s">
        <v>299</v>
      </c>
      <c r="C30" s="1">
        <f t="shared" ref="C30:G31" si="5">C12</f>
        <v>-4827.8867279181177</v>
      </c>
      <c r="D30" s="1">
        <f t="shared" si="5"/>
        <v>-8861.9323739210577</v>
      </c>
      <c r="E30" s="1">
        <f t="shared" si="5"/>
        <v>-9097.8479877390582</v>
      </c>
      <c r="F30" s="1">
        <f t="shared" si="5"/>
        <v>-9135.3785092032213</v>
      </c>
      <c r="G30" s="671">
        <f t="shared" si="5"/>
        <v>-9265.845987711753</v>
      </c>
    </row>
    <row r="31" spans="2:7">
      <c r="B31" s="670" t="s">
        <v>300</v>
      </c>
      <c r="C31" s="1">
        <f t="shared" si="5"/>
        <v>-9643.5420939257347</v>
      </c>
      <c r="D31" s="1">
        <f t="shared" si="5"/>
        <v>-9643.5420939257347</v>
      </c>
      <c r="E31" s="1">
        <f t="shared" si="5"/>
        <v>-9643.5420939257347</v>
      </c>
      <c r="F31" s="1">
        <f t="shared" si="5"/>
        <v>-9643.5420939257347</v>
      </c>
      <c r="G31" s="671">
        <f t="shared" si="5"/>
        <v>-9643.5420939257347</v>
      </c>
    </row>
    <row r="32" spans="2:7">
      <c r="B32" s="670"/>
      <c r="C32" s="1"/>
      <c r="D32" s="1"/>
      <c r="E32" s="1"/>
      <c r="F32" s="1"/>
      <c r="G32" s="671"/>
    </row>
    <row r="33" spans="2:7" ht="13.5" thickBot="1">
      <c r="B33" s="673" t="s">
        <v>301</v>
      </c>
      <c r="C33" s="674">
        <f>C27+C28+C29+C30+C31</f>
        <v>20788.587343130384</v>
      </c>
      <c r="D33" s="674">
        <f t="shared" ref="D33:G33" si="6">D27+D28+D29+D30+D31</f>
        <v>47846.574583935027</v>
      </c>
      <c r="E33" s="674">
        <f t="shared" si="6"/>
        <v>48766.292386085726</v>
      </c>
      <c r="F33" s="674">
        <f t="shared" si="6"/>
        <v>49761.518488862508</v>
      </c>
      <c r="G33" s="675">
        <f t="shared" si="6"/>
        <v>50494.438716922188</v>
      </c>
    </row>
    <row r="36" spans="2:7" ht="18">
      <c r="B36" s="696" t="s">
        <v>292</v>
      </c>
      <c r="C36" s="696"/>
      <c r="D36" s="696"/>
      <c r="E36" s="696"/>
      <c r="F36" s="696"/>
      <c r="G36" s="696"/>
    </row>
    <row r="37" spans="2:7" ht="13.5" thickBot="1"/>
    <row r="38" spans="2:7" ht="13.5" thickBot="1">
      <c r="B38" s="688"/>
      <c r="C38" s="689" t="s">
        <v>284</v>
      </c>
      <c r="D38" s="689" t="s">
        <v>285</v>
      </c>
      <c r="E38" s="689" t="s">
        <v>286</v>
      </c>
      <c r="F38" s="689" t="s">
        <v>287</v>
      </c>
      <c r="G38" s="690" t="s">
        <v>288</v>
      </c>
    </row>
    <row r="39" spans="2:7">
      <c r="B39" s="691"/>
      <c r="C39" s="694" t="s">
        <v>293</v>
      </c>
      <c r="D39" s="692"/>
      <c r="E39" s="692"/>
      <c r="F39" s="692"/>
      <c r="G39" s="693"/>
    </row>
    <row r="40" spans="2:7">
      <c r="B40" s="670" t="s">
        <v>295</v>
      </c>
      <c r="C40" s="1">
        <f>C22</f>
        <v>415491.34136193688</v>
      </c>
      <c r="D40" s="1">
        <f t="shared" ref="D40:G40" si="7">D22</f>
        <v>434972.25575953996</v>
      </c>
      <c r="E40" s="1">
        <f t="shared" si="7"/>
        <v>441156.6987493331</v>
      </c>
      <c r="F40" s="1">
        <f t="shared" si="7"/>
        <v>444623.56753314857</v>
      </c>
      <c r="G40" s="671">
        <f t="shared" si="7"/>
        <v>448553.16012017603</v>
      </c>
    </row>
    <row r="41" spans="2:7">
      <c r="B41" s="683" t="s">
        <v>290</v>
      </c>
      <c r="C41" s="681">
        <f>C6</f>
        <v>0.13553999999999999</v>
      </c>
      <c r="D41" s="681">
        <f>C41</f>
        <v>0.13553999999999999</v>
      </c>
      <c r="E41" s="681">
        <f t="shared" ref="E41:G41" si="8">D41</f>
        <v>0.13553999999999999</v>
      </c>
      <c r="F41" s="681">
        <f t="shared" si="8"/>
        <v>0.13553999999999999</v>
      </c>
      <c r="G41" s="682">
        <f t="shared" si="8"/>
        <v>0.13553999999999999</v>
      </c>
    </row>
    <row r="42" spans="2:7">
      <c r="B42" s="670" t="s">
        <v>296</v>
      </c>
      <c r="C42" s="1">
        <f>C40*C41*7/12</f>
        <v>32850.822904781533</v>
      </c>
      <c r="D42" s="1">
        <f t="shared" ref="D42:G42" si="9">D40*D41</f>
        <v>58956.139545648046</v>
      </c>
      <c r="E42" s="1">
        <f t="shared" si="9"/>
        <v>59794.378948484606</v>
      </c>
      <c r="F42" s="1">
        <f t="shared" si="9"/>
        <v>60264.278343442951</v>
      </c>
      <c r="G42" s="671">
        <f t="shared" si="9"/>
        <v>60796.895322688659</v>
      </c>
    </row>
    <row r="43" spans="2:7">
      <c r="B43" s="670"/>
      <c r="C43" s="1"/>
      <c r="D43" s="1"/>
      <c r="E43" s="1"/>
      <c r="F43" s="1"/>
      <c r="G43" s="671"/>
    </row>
    <row r="44" spans="2:7">
      <c r="B44" s="672" t="s">
        <v>294</v>
      </c>
      <c r="C44" s="1"/>
      <c r="D44" s="1"/>
      <c r="E44" s="1"/>
      <c r="F44" s="1"/>
      <c r="G44" s="671"/>
    </row>
    <row r="45" spans="2:7">
      <c r="B45" s="670" t="s">
        <v>297</v>
      </c>
      <c r="C45" s="1">
        <f>C27</f>
        <v>8036.9711353541979</v>
      </c>
      <c r="D45" s="1">
        <f t="shared" ref="D45:G45" si="10">D27</f>
        <v>14592.48291029642</v>
      </c>
      <c r="E45" s="1">
        <f t="shared" si="10"/>
        <v>15001.621884357786</v>
      </c>
      <c r="F45" s="1">
        <f t="shared" si="10"/>
        <v>15579.074316431985</v>
      </c>
      <c r="G45" s="671">
        <f t="shared" si="10"/>
        <v>15960.582396507825</v>
      </c>
    </row>
    <row r="46" spans="2:7">
      <c r="B46" s="670" t="s">
        <v>298</v>
      </c>
      <c r="C46" s="1">
        <f>C42</f>
        <v>32850.822904781533</v>
      </c>
      <c r="D46" s="1">
        <f t="shared" ref="D46:G46" si="11">D42</f>
        <v>58956.139545648046</v>
      </c>
      <c r="E46" s="1">
        <f t="shared" si="11"/>
        <v>59794.378948484606</v>
      </c>
      <c r="F46" s="1">
        <f t="shared" si="11"/>
        <v>60264.278343442951</v>
      </c>
      <c r="G46" s="671">
        <f t="shared" si="11"/>
        <v>60796.895322688659</v>
      </c>
    </row>
    <row r="47" spans="2:7">
      <c r="B47" s="670" t="s">
        <v>299</v>
      </c>
      <c r="C47" s="1">
        <f t="shared" ref="C47:G48" si="12">C12/0.72</f>
        <v>-6705.3982332196083</v>
      </c>
      <c r="D47" s="1">
        <f t="shared" si="12"/>
        <v>-12308.239408223691</v>
      </c>
      <c r="E47" s="1">
        <f t="shared" si="12"/>
        <v>-12635.899982970916</v>
      </c>
      <c r="F47" s="1">
        <f t="shared" si="12"/>
        <v>-12688.025707226696</v>
      </c>
      <c r="G47" s="671">
        <f t="shared" si="12"/>
        <v>-12869.230538488546</v>
      </c>
    </row>
    <row r="48" spans="2:7">
      <c r="B48" s="670" t="s">
        <v>300</v>
      </c>
      <c r="C48" s="1">
        <f t="shared" si="12"/>
        <v>-13393.808463785743</v>
      </c>
      <c r="D48" s="1">
        <f t="shared" si="12"/>
        <v>-13393.808463785743</v>
      </c>
      <c r="E48" s="1">
        <f t="shared" si="12"/>
        <v>-13393.808463785743</v>
      </c>
      <c r="F48" s="1">
        <f t="shared" si="12"/>
        <v>-13393.808463785743</v>
      </c>
      <c r="G48" s="671">
        <f t="shared" si="12"/>
        <v>-13393.808463785743</v>
      </c>
    </row>
    <row r="49" spans="2:7">
      <c r="B49" s="670"/>
      <c r="C49" s="1"/>
      <c r="D49" s="1"/>
      <c r="E49" s="1"/>
      <c r="F49" s="1"/>
      <c r="G49" s="671"/>
    </row>
    <row r="50" spans="2:7" ht="13.5" thickBot="1">
      <c r="B50" s="673" t="s">
        <v>301</v>
      </c>
      <c r="C50" s="674">
        <f>SUM(C45:C48)</f>
        <v>20788.587343130381</v>
      </c>
      <c r="D50" s="674">
        <f>SUM(D45:D48)</f>
        <v>47846.574583935027</v>
      </c>
      <c r="E50" s="674">
        <f>SUM(E45:E48)</f>
        <v>48766.292386085726</v>
      </c>
      <c r="F50" s="674">
        <f>SUM(F45:F48)</f>
        <v>49761.518488862494</v>
      </c>
      <c r="G50" s="675">
        <f>SUM(G45:G48)</f>
        <v>50494.438716922188</v>
      </c>
    </row>
    <row r="51" spans="2:7" ht="13.5" thickBot="1">
      <c r="B51" s="1"/>
      <c r="C51" s="1"/>
      <c r="D51" s="1"/>
      <c r="E51" s="1"/>
      <c r="F51" s="1"/>
      <c r="G51" s="1"/>
    </row>
    <row r="52" spans="2:7" ht="13.5" thickBot="1">
      <c r="B52" s="676" t="s">
        <v>302</v>
      </c>
      <c r="C52" s="677">
        <f>C15-C33</f>
        <v>5627.7778751615006</v>
      </c>
      <c r="D52" s="677">
        <f>D15-D33</f>
        <v>7196.573404162642</v>
      </c>
      <c r="E52" s="677">
        <f>E15-E33</f>
        <v>7288.3183650918654</v>
      </c>
      <c r="F52" s="677">
        <f>F15-F33</f>
        <v>7302.9135678834718</v>
      </c>
      <c r="G52" s="678">
        <f>G15-G33</f>
        <v>7353.6509206368064</v>
      </c>
    </row>
    <row r="53" spans="2:7" ht="13.5" thickBot="1"/>
    <row r="54" spans="2:7" ht="13.5" thickBot="1">
      <c r="B54" s="676" t="s">
        <v>23</v>
      </c>
      <c r="C54" s="677"/>
      <c r="D54" s="677"/>
      <c r="E54" s="677"/>
      <c r="F54" s="677"/>
      <c r="G54" s="678">
        <f>SUM(C52:G52)</f>
        <v>34769.234132936283</v>
      </c>
    </row>
    <row r="56" spans="2:7">
      <c r="F56" s="1"/>
      <c r="G56" s="1"/>
    </row>
  </sheetData>
  <mergeCells count="3">
    <mergeCell ref="B1:G1"/>
    <mergeCell ref="B18:G18"/>
    <mergeCell ref="B36:G36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I244"/>
  <sheetViews>
    <sheetView showGridLines="0" zoomScale="80" zoomScaleNormal="80" zoomScaleSheetLayoutView="40" workbookViewId="0">
      <pane ySplit="7" topLeftCell="A157" activePane="bottomLeft" state="frozen"/>
      <selection activeCell="E36" sqref="E36:O36"/>
      <selection pane="bottomLeft" activeCell="R188" sqref="R188"/>
    </sheetView>
  </sheetViews>
  <sheetFormatPr defaultRowHeight="12.75" outlineLevelRow="2" outlineLevelCol="1"/>
  <cols>
    <col min="1" max="3" width="1.42578125" customWidth="1"/>
    <col min="4" max="4" width="10.28515625" customWidth="1"/>
    <col min="5" max="5" width="28.5703125" customWidth="1"/>
    <col min="6" max="6" width="18.28515625" customWidth="1"/>
    <col min="7" max="10" width="0.5703125" hidden="1" customWidth="1" outlineLevel="1"/>
    <col min="11" max="12" width="6" hidden="1" customWidth="1" outlineLevel="1"/>
    <col min="13" max="13" width="13.28515625" style="1" customWidth="1" collapsed="1"/>
    <col min="14" max="14" width="16.5703125" style="225" bestFit="1" customWidth="1"/>
    <col min="15" max="15" width="8.140625" style="1" bestFit="1" customWidth="1"/>
    <col min="16" max="19" width="10.140625" bestFit="1" customWidth="1"/>
    <col min="20" max="23" width="9.28515625" bestFit="1" customWidth="1"/>
    <col min="24" max="24" width="8.7109375" style="225" bestFit="1" customWidth="1"/>
    <col min="25" max="25" width="12" style="1" bestFit="1" customWidth="1"/>
    <col min="26" max="34" width="8.85546875" customWidth="1" outlineLevel="1"/>
  </cols>
  <sheetData>
    <row r="1" spans="1: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449"/>
      <c r="O1" s="96"/>
      <c r="P1" s="95"/>
      <c r="Q1" s="95"/>
      <c r="R1" s="95"/>
      <c r="S1" s="95"/>
      <c r="T1" s="95"/>
      <c r="U1" s="95"/>
      <c r="V1" s="95"/>
      <c r="W1" s="95"/>
      <c r="X1" s="449"/>
      <c r="Y1" s="96"/>
    </row>
    <row r="2" spans="1:25" ht="21">
      <c r="A2" s="99"/>
      <c r="B2" s="99"/>
      <c r="C2" s="99"/>
      <c r="D2" s="99" t="s">
        <v>27</v>
      </c>
      <c r="E2" s="95"/>
      <c r="F2" s="95"/>
      <c r="G2" s="99"/>
      <c r="H2" s="99"/>
      <c r="I2" s="95"/>
      <c r="J2" s="95"/>
      <c r="K2" s="95"/>
      <c r="L2" s="95"/>
      <c r="M2" s="96"/>
      <c r="N2" s="449"/>
      <c r="O2" s="96"/>
      <c r="P2" s="95"/>
      <c r="Q2" s="95"/>
      <c r="R2" s="95"/>
      <c r="S2" s="95"/>
      <c r="T2" s="95"/>
      <c r="U2" s="95"/>
      <c r="V2" s="95"/>
      <c r="W2" s="95"/>
      <c r="X2" s="449"/>
      <c r="Y2" s="96"/>
    </row>
    <row r="3" spans="1:25">
      <c r="A3" s="98"/>
      <c r="B3" s="98"/>
      <c r="C3" s="98"/>
      <c r="D3" s="98"/>
      <c r="E3" s="95"/>
      <c r="F3" s="95"/>
      <c r="G3" s="98"/>
      <c r="H3" s="98"/>
      <c r="I3" s="95"/>
      <c r="J3" s="95"/>
      <c r="K3" s="95"/>
      <c r="L3" s="95"/>
      <c r="M3" s="96"/>
      <c r="N3" s="449"/>
      <c r="O3" s="96"/>
      <c r="P3" s="95"/>
      <c r="Q3" s="95"/>
      <c r="R3" s="95"/>
      <c r="S3" s="95"/>
      <c r="T3" s="95"/>
      <c r="U3" s="95"/>
      <c r="V3" s="95"/>
      <c r="W3" s="95"/>
      <c r="X3" s="449"/>
      <c r="Y3" s="96"/>
    </row>
    <row r="4" spans="1:25">
      <c r="A4" s="97"/>
      <c r="B4" s="97"/>
      <c r="C4" s="97"/>
      <c r="D4" s="97"/>
      <c r="E4" s="95"/>
      <c r="F4" s="95"/>
      <c r="G4" s="97"/>
      <c r="H4" s="97"/>
      <c r="I4" s="95"/>
      <c r="J4" s="95"/>
      <c r="K4" s="95"/>
      <c r="L4" s="95"/>
      <c r="M4" s="96"/>
      <c r="N4" s="449"/>
      <c r="O4" s="96"/>
      <c r="P4" s="95"/>
      <c r="Q4" s="95"/>
      <c r="R4" s="95"/>
      <c r="S4" s="95"/>
      <c r="T4" s="95"/>
      <c r="U4" s="95"/>
      <c r="V4" s="95"/>
      <c r="W4" s="95"/>
      <c r="X4" s="449"/>
      <c r="Y4" s="96"/>
    </row>
    <row r="5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7"/>
      <c r="N5" s="450"/>
      <c r="O5" s="57"/>
      <c r="P5" s="4"/>
      <c r="Q5" s="4"/>
      <c r="R5" s="4"/>
      <c r="S5" s="4"/>
      <c r="T5" s="4"/>
      <c r="U5" s="4"/>
      <c r="V5" s="4"/>
      <c r="W5" s="4"/>
      <c r="X5" s="450"/>
      <c r="Y5" s="57"/>
    </row>
    <row r="6" spans="1:25">
      <c r="A6" s="4"/>
      <c r="B6" s="4"/>
      <c r="C6" s="4"/>
      <c r="D6" s="4"/>
      <c r="E6" s="4"/>
      <c r="F6" s="4"/>
      <c r="G6" s="93"/>
      <c r="H6" s="93"/>
      <c r="I6" s="4"/>
      <c r="J6" s="4"/>
      <c r="K6" s="4"/>
      <c r="L6" s="4"/>
      <c r="M6" s="57"/>
      <c r="N6" s="451"/>
      <c r="O6" s="437"/>
      <c r="P6" s="94"/>
      <c r="Q6" s="94"/>
      <c r="R6" s="94"/>
      <c r="S6" s="94"/>
      <c r="T6" s="94"/>
      <c r="U6" s="94"/>
      <c r="V6" s="94"/>
      <c r="W6" s="94"/>
      <c r="X6" s="451"/>
      <c r="Y6" s="437"/>
    </row>
    <row r="7" spans="1:25">
      <c r="A7" s="4"/>
      <c r="B7" s="4"/>
      <c r="C7" s="4"/>
      <c r="D7" s="4"/>
      <c r="E7" s="4"/>
      <c r="F7" s="4"/>
      <c r="G7" s="93"/>
      <c r="H7" s="93"/>
      <c r="I7" s="4"/>
      <c r="J7" s="4"/>
      <c r="K7" s="92"/>
      <c r="L7" s="92"/>
      <c r="M7" s="91"/>
      <c r="N7" s="452">
        <f>'Volume &amp; CPI forecast'!N10</f>
        <v>41090</v>
      </c>
      <c r="O7" s="307">
        <f>'Volume &amp; CPI forecast'!O10</f>
        <v>41455</v>
      </c>
      <c r="P7" s="307">
        <f>'Volume &amp; CPI forecast'!P10</f>
        <v>41820</v>
      </c>
      <c r="Q7" s="307">
        <f>'Volume &amp; CPI forecast'!Q10</f>
        <v>42185</v>
      </c>
      <c r="R7" s="307">
        <f>'Volume &amp; CPI forecast'!R10</f>
        <v>42551</v>
      </c>
      <c r="S7" s="307">
        <f>'Volume &amp; CPI forecast'!S10</f>
        <v>42916</v>
      </c>
      <c r="T7" s="307">
        <f>'Volume &amp; CPI forecast'!T10</f>
        <v>43281</v>
      </c>
      <c r="U7" s="307">
        <f>'Volume &amp; CPI forecast'!U10</f>
        <v>43646</v>
      </c>
      <c r="V7" s="307">
        <f>'Volume &amp; CPI forecast'!V10</f>
        <v>44012</v>
      </c>
      <c r="W7" s="307">
        <f>'Volume &amp; CPI forecast'!W10</f>
        <v>44377</v>
      </c>
      <c r="X7" s="452">
        <f>'Volume &amp; CPI forecast'!X10</f>
        <v>44742</v>
      </c>
      <c r="Y7" s="307">
        <f>'Volume &amp; CPI forecast'!Y10</f>
        <v>45107</v>
      </c>
    </row>
    <row r="8" spans="1:25" ht="21">
      <c r="A8" s="4"/>
      <c r="B8" s="4"/>
      <c r="C8" s="4"/>
      <c r="D8" s="394" t="s">
        <v>195</v>
      </c>
      <c r="E8" s="4"/>
      <c r="F8" s="4"/>
      <c r="G8" s="93"/>
      <c r="H8" s="93"/>
      <c r="I8" s="4"/>
      <c r="J8" s="4"/>
      <c r="K8" s="92"/>
      <c r="L8" s="92"/>
      <c r="M8" s="91"/>
      <c r="N8" s="453"/>
      <c r="O8" s="91"/>
      <c r="P8" s="91"/>
      <c r="Q8" s="91"/>
      <c r="R8" s="91"/>
      <c r="S8" s="91"/>
      <c r="T8" s="91"/>
      <c r="U8" s="91"/>
      <c r="V8" s="91"/>
      <c r="W8" s="91"/>
      <c r="X8" s="453"/>
      <c r="Y8" s="91"/>
    </row>
    <row r="9" spans="1:25" outlineLevel="1">
      <c r="A9" s="4"/>
      <c r="B9" s="4"/>
      <c r="C9" s="4"/>
      <c r="D9" s="100" t="s">
        <v>140</v>
      </c>
      <c r="E9" s="100"/>
      <c r="G9" s="5"/>
      <c r="H9" s="5"/>
      <c r="I9" s="4"/>
      <c r="J9" s="4"/>
      <c r="K9" s="92"/>
      <c r="L9" s="92"/>
      <c r="M9" s="101">
        <v>1000000</v>
      </c>
      <c r="N9" s="454"/>
      <c r="O9" s="438"/>
      <c r="P9" s="90"/>
      <c r="Q9" s="90"/>
      <c r="R9" s="90"/>
      <c r="S9" s="90"/>
      <c r="T9" s="90"/>
      <c r="U9" s="90"/>
      <c r="V9" s="90"/>
      <c r="W9" s="90"/>
      <c r="X9" s="454"/>
      <c r="Y9" s="438"/>
    </row>
    <row r="10" spans="1:25" outlineLevel="1">
      <c r="A10" s="4"/>
      <c r="B10" s="4"/>
      <c r="C10" s="4"/>
      <c r="D10" s="100" t="s">
        <v>229</v>
      </c>
      <c r="E10" s="100"/>
      <c r="G10" s="5"/>
      <c r="H10" s="5"/>
      <c r="I10" s="4"/>
      <c r="J10" s="4"/>
      <c r="K10" s="92"/>
      <c r="L10" s="92"/>
      <c r="M10" s="547">
        <f>7/12</f>
        <v>0.58333333333333337</v>
      </c>
      <c r="N10" s="454"/>
      <c r="O10" s="438"/>
      <c r="P10" s="90"/>
      <c r="Q10" s="90"/>
      <c r="R10" s="90"/>
      <c r="S10" s="90"/>
      <c r="T10" s="90"/>
      <c r="U10" s="90"/>
      <c r="V10" s="90"/>
      <c r="W10" s="90"/>
      <c r="X10" s="454"/>
      <c r="Y10" s="438"/>
    </row>
    <row r="11" spans="1:25" outlineLevel="1"/>
    <row r="12" spans="1:25" outlineLevel="1">
      <c r="D12" s="390" t="s">
        <v>184</v>
      </c>
    </row>
    <row r="13" spans="1:25" outlineLevel="1">
      <c r="D13" s="389" t="s">
        <v>183</v>
      </c>
    </row>
    <row r="14" spans="1:25" outlineLevel="1">
      <c r="D14" s="69" t="s">
        <v>147</v>
      </c>
      <c r="E14" s="68"/>
      <c r="F14" s="68"/>
      <c r="G14" s="68"/>
      <c r="H14" s="68"/>
      <c r="I14" s="57"/>
      <c r="J14" s="57"/>
      <c r="K14" s="67"/>
      <c r="L14" s="67"/>
      <c r="M14" s="67"/>
      <c r="N14" s="455">
        <f>'Volume &amp; CPI forecast'!N30</f>
        <v>37447</v>
      </c>
      <c r="O14" s="548">
        <f>'Volume &amp; CPI forecast'!O30*seven_months</f>
        <v>22333.5</v>
      </c>
      <c r="P14" s="330">
        <f>'Volume &amp; CPI forecast'!P30</f>
        <v>39124</v>
      </c>
      <c r="Q14" s="330">
        <f>'Volume &amp; CPI forecast'!Q30</f>
        <v>39448</v>
      </c>
      <c r="R14" s="330">
        <f>'Volume &amp; CPI forecast'!R30</f>
        <v>39831</v>
      </c>
      <c r="S14" s="330">
        <f>'Volume &amp; CPI forecast'!S30</f>
        <v>40176</v>
      </c>
      <c r="T14" s="330">
        <f>'Volume &amp; CPI forecast'!T30</f>
        <v>40462</v>
      </c>
      <c r="U14" s="330">
        <f>'Volume &amp; CPI forecast'!U30</f>
        <v>40733</v>
      </c>
      <c r="V14" s="330">
        <f>'Volume &amp; CPI forecast'!V30</f>
        <v>41238</v>
      </c>
      <c r="W14" s="330">
        <f>'Volume &amp; CPI forecast'!W30</f>
        <v>41541</v>
      </c>
      <c r="X14" s="455">
        <f>'Volume &amp; CPI forecast'!X30</f>
        <v>42506.339288049523</v>
      </c>
      <c r="Y14" s="330">
        <f>'Volume &amp; CPI forecast'!Y30</f>
        <v>251996.65989583844</v>
      </c>
    </row>
    <row r="15" spans="1:25" outlineLevel="1">
      <c r="D15" s="69" t="s">
        <v>152</v>
      </c>
      <c r="E15" s="68"/>
      <c r="F15" s="68"/>
      <c r="G15" s="68"/>
      <c r="H15" s="68"/>
      <c r="I15" s="57"/>
      <c r="J15" s="57"/>
      <c r="K15" s="67"/>
      <c r="L15" s="67"/>
      <c r="M15" s="319"/>
      <c r="N15" s="456">
        <f>'Volume &amp; CPI forecast'!N37/m</f>
        <v>1.4311049635192308</v>
      </c>
      <c r="O15" s="549">
        <f>'Volume &amp; CPI forecast'!O37/m*seven_months</f>
        <v>0.81836846702243604</v>
      </c>
      <c r="P15" s="339">
        <f>'Volume &amp; CPI forecast'!P37/m</f>
        <v>1.4286495960384618</v>
      </c>
      <c r="Q15" s="339">
        <f>'Volume &amp; CPI forecast'!Q37/m</f>
        <v>1.4544642697884618</v>
      </c>
      <c r="R15" s="339">
        <f>'Volume &amp; CPI forecast'!R37/m</f>
        <v>1.4856507394038465</v>
      </c>
      <c r="S15" s="339">
        <f>'Volume &amp; CPI forecast'!S37/m</f>
        <v>1.5009352052884619</v>
      </c>
      <c r="T15" s="339">
        <f>'Volume &amp; CPI forecast'!T37/m</f>
        <v>1.5215821837884618</v>
      </c>
      <c r="U15" s="339">
        <f>'Volume &amp; CPI forecast'!U37/m</f>
        <v>1.5365820070384619</v>
      </c>
      <c r="V15" s="339">
        <f>'Volume &amp; CPI forecast'!V37/m</f>
        <v>1.5652640666346156</v>
      </c>
      <c r="W15" s="339">
        <f>'Volume &amp; CPI forecast'!W37/m</f>
        <v>1.580497097788462</v>
      </c>
      <c r="X15" s="456">
        <f>'Volume &amp; CPI forecast'!X37/m</f>
        <v>1.6240856462988991</v>
      </c>
      <c r="Y15" s="339">
        <f>'Volume &amp; CPI forecast'!Y37/m</f>
        <v>9.701666423416297</v>
      </c>
    </row>
    <row r="16" spans="1:25" outlineLevel="1">
      <c r="D16" s="69" t="s">
        <v>153</v>
      </c>
      <c r="E16" s="68"/>
      <c r="F16" s="68"/>
      <c r="G16" s="68"/>
      <c r="H16" s="68"/>
      <c r="I16" s="57"/>
      <c r="J16" s="57"/>
      <c r="K16" s="67"/>
      <c r="L16" s="67"/>
      <c r="M16" s="319"/>
      <c r="N16" s="456">
        <f>'Volume &amp; CPI forecast'!N38/m</f>
        <v>0.38925447400000063</v>
      </c>
      <c r="O16" s="549">
        <f>'Volume &amp; CPI forecast'!O38/m*seven_months</f>
        <v>0.23949986900000039</v>
      </c>
      <c r="P16" s="339">
        <f>'Volume &amp; CPI forecast'!P38/m</f>
        <v>0.43600226900000061</v>
      </c>
      <c r="Q16" s="339">
        <f>'Volume &amp; CPI forecast'!Q38/m</f>
        <v>0.43652583400000061</v>
      </c>
      <c r="R16" s="339">
        <f>'Volume &amp; CPI forecast'!R38/m</f>
        <v>0.43938862400000067</v>
      </c>
      <c r="S16" s="339">
        <f>'Volume &amp; CPI forecast'!S38/m</f>
        <v>0.44331222400000064</v>
      </c>
      <c r="T16" s="339">
        <f>'Volume &amp; CPI forecast'!T38/m</f>
        <v>0.44637398400000056</v>
      </c>
      <c r="U16" s="339">
        <f>'Volume &amp; CPI forecast'!U38/m</f>
        <v>0.45064767400000061</v>
      </c>
      <c r="V16" s="339">
        <f>'Volume &amp; CPI forecast'!V38/m</f>
        <v>0.45544868400000066</v>
      </c>
      <c r="W16" s="339">
        <f>'Volume &amp; CPI forecast'!W38/m</f>
        <v>0.45789926400000058</v>
      </c>
      <c r="X16" s="456">
        <f>'Volume &amp; CPI forecast'!X38/m</f>
        <v>0.4677234037813095</v>
      </c>
      <c r="Y16" s="339">
        <f>'Volume &amp; CPI forecast'!Y38/m</f>
        <v>2.7563674076523035</v>
      </c>
    </row>
    <row r="17" spans="4:25" outlineLevel="1">
      <c r="D17" s="63" t="s">
        <v>22</v>
      </c>
      <c r="E17" s="62"/>
      <c r="F17" s="62"/>
      <c r="G17" s="62"/>
      <c r="H17" s="62"/>
      <c r="I17" s="61"/>
      <c r="J17" s="60"/>
      <c r="K17" s="59"/>
      <c r="L17" s="59"/>
      <c r="M17" s="59"/>
      <c r="N17" s="457">
        <f>'Volume &amp; CPI forecast'!N36/m</f>
        <v>1.8203594375192313</v>
      </c>
    </row>
    <row r="18" spans="4:25" outlineLevel="1"/>
    <row r="19" spans="4:25" outlineLevel="1">
      <c r="D19" s="395" t="s">
        <v>185</v>
      </c>
      <c r="O19" s="652">
        <f>'Volume &amp; CPI forecast'!O13</f>
        <v>2.1000000000000001E-2</v>
      </c>
      <c r="P19" s="652">
        <f>'Volume &amp; CPI forecast'!P13</f>
        <v>2.1000000000000001E-2</v>
      </c>
      <c r="Q19" s="652">
        <f>'Volume &amp; CPI forecast'!Q13</f>
        <v>2.1000000000000001E-2</v>
      </c>
      <c r="R19" s="652">
        <f>'Volume &amp; CPI forecast'!R13</f>
        <v>2.1000000000000001E-2</v>
      </c>
      <c r="S19" s="652">
        <f>'Volume &amp; CPI forecast'!S13</f>
        <v>2.1000000000000001E-2</v>
      </c>
      <c r="T19" s="652">
        <f>'Volume &amp; CPI forecast'!T13</f>
        <v>2.5000000000000001E-2</v>
      </c>
      <c r="U19" s="652">
        <f>'Volume &amp; CPI forecast'!U13</f>
        <v>2.5000000000000001E-2</v>
      </c>
      <c r="V19" s="652">
        <f>'Volume &amp; CPI forecast'!V13</f>
        <v>2.5000000000000001E-2</v>
      </c>
      <c r="W19" s="652">
        <f>'Volume &amp; CPI forecast'!W13</f>
        <v>2.5000000000000001E-2</v>
      </c>
      <c r="X19" s="652">
        <f>'Volume &amp; CPI forecast'!X13</f>
        <v>2.5000000000000001E-2</v>
      </c>
      <c r="Y19" s="652">
        <f>'Volume &amp; CPI forecast'!Y13</f>
        <v>2.5000000000000001E-2</v>
      </c>
    </row>
    <row r="20" spans="4:25" outlineLevel="1">
      <c r="D20" s="69" t="s">
        <v>277</v>
      </c>
      <c r="E20" s="68"/>
      <c r="F20" s="68"/>
      <c r="G20" s="68"/>
      <c r="H20" s="68"/>
      <c r="I20" s="57"/>
      <c r="J20" s="57"/>
      <c r="K20" s="67"/>
      <c r="L20" s="67"/>
      <c r="M20" s="67"/>
      <c r="N20" s="465"/>
      <c r="O20" s="666">
        <v>150</v>
      </c>
      <c r="P20" s="667">
        <f>O20*(1+P19)</f>
        <v>153.14999999999998</v>
      </c>
      <c r="Q20" s="668">
        <f>P20*(1+Q19)*(1+R19/2)</f>
        <v>158.00799457499997</v>
      </c>
      <c r="R20" s="667">
        <f>P20*(1+R19)*(1+Q19)</f>
        <v>159.64983914999996</v>
      </c>
      <c r="S20" s="667">
        <f t="shared" ref="S20" si="0">R20*(1+S19)</f>
        <v>163.00248577214995</v>
      </c>
      <c r="T20" s="667">
        <f t="shared" ref="T20:Y20" si="1">S20*(1+T19)</f>
        <v>167.07754791645368</v>
      </c>
      <c r="U20" s="667">
        <f t="shared" si="1"/>
        <v>171.25448661436502</v>
      </c>
      <c r="V20" s="667">
        <f t="shared" si="1"/>
        <v>175.53584877972412</v>
      </c>
      <c r="W20" s="667">
        <f t="shared" si="1"/>
        <v>179.92424499921719</v>
      </c>
      <c r="X20" s="667">
        <f t="shared" si="1"/>
        <v>184.4223511241976</v>
      </c>
      <c r="Y20" s="667">
        <f t="shared" si="1"/>
        <v>189.03290990230252</v>
      </c>
    </row>
    <row r="21" spans="4:25" outlineLevel="1">
      <c r="D21" s="69" t="s">
        <v>278</v>
      </c>
      <c r="E21" s="68"/>
      <c r="F21" s="68"/>
      <c r="G21" s="68"/>
      <c r="H21" s="68"/>
      <c r="I21" s="57"/>
      <c r="J21" s="57"/>
      <c r="K21" s="67"/>
      <c r="L21" s="67"/>
      <c r="M21" s="67"/>
      <c r="N21" s="465"/>
      <c r="O21" s="666">
        <v>75</v>
      </c>
      <c r="P21" s="667">
        <f>O21*(1+P19)</f>
        <v>76.574999999999989</v>
      </c>
      <c r="Q21" s="668">
        <f>P21*(1+Q19)*(1+R19/2)</f>
        <v>79.003997287499985</v>
      </c>
      <c r="R21" s="667">
        <f>P21*(1+R19)*(1+Q19)</f>
        <v>79.824919574999981</v>
      </c>
      <c r="S21" s="667">
        <f t="shared" ref="S21:Y21" si="2">R21*(1+S19)</f>
        <v>81.501242886074976</v>
      </c>
      <c r="T21" s="667">
        <f t="shared" si="2"/>
        <v>83.538773958226841</v>
      </c>
      <c r="U21" s="667">
        <f t="shared" si="2"/>
        <v>85.627243307182511</v>
      </c>
      <c r="V21" s="667">
        <f t="shared" si="2"/>
        <v>87.76792438986206</v>
      </c>
      <c r="W21" s="667">
        <f t="shared" si="2"/>
        <v>89.962122499608597</v>
      </c>
      <c r="X21" s="667">
        <f t="shared" si="2"/>
        <v>92.211175562098802</v>
      </c>
      <c r="Y21" s="667">
        <f t="shared" si="2"/>
        <v>94.51645495115126</v>
      </c>
    </row>
    <row r="22" spans="4:25" outlineLevel="1">
      <c r="D22" s="63" t="s">
        <v>206</v>
      </c>
      <c r="N22" s="480"/>
    </row>
    <row r="23" spans="4:25" outlineLevel="1">
      <c r="D23" s="318" t="s">
        <v>150</v>
      </c>
      <c r="E23" s="68"/>
      <c r="F23" s="68"/>
      <c r="G23" s="68"/>
      <c r="H23" s="68"/>
      <c r="I23" s="57"/>
      <c r="J23" s="57"/>
      <c r="K23" s="67"/>
      <c r="L23" s="67"/>
      <c r="O23" s="598">
        <f>1-O24</f>
        <v>0.84383834067814745</v>
      </c>
    </row>
    <row r="24" spans="4:25" outlineLevel="1">
      <c r="D24" s="318" t="s">
        <v>151</v>
      </c>
      <c r="E24" s="68"/>
      <c r="F24" s="68"/>
      <c r="G24" s="68"/>
      <c r="H24" s="68"/>
      <c r="I24" s="57"/>
      <c r="J24" s="57"/>
      <c r="K24" s="67"/>
      <c r="L24" s="67"/>
      <c r="O24" s="598">
        <v>0.15616165932185255</v>
      </c>
    </row>
    <row r="25" spans="4:25" outlineLevel="1"/>
    <row r="26" spans="4:25" outlineLevel="1">
      <c r="D26" s="390" t="s">
        <v>186</v>
      </c>
    </row>
    <row r="27" spans="4:25" outlineLevel="1">
      <c r="D27" s="389" t="s">
        <v>183</v>
      </c>
    </row>
    <row r="28" spans="4:25" outlineLevel="1">
      <c r="D28" s="63" t="s">
        <v>19</v>
      </c>
      <c r="E28" s="73"/>
      <c r="F28" s="73"/>
      <c r="G28" s="62"/>
      <c r="H28" s="62"/>
      <c r="I28" s="61"/>
      <c r="J28" s="60"/>
      <c r="K28" s="59"/>
      <c r="L28" s="59"/>
      <c r="M28" s="59"/>
      <c r="N28" s="457">
        <f>'Volume &amp; CPI forecast'!N42/m</f>
        <v>1.4053800483727699</v>
      </c>
      <c r="O28" s="550">
        <f>'Volume &amp; CPI forecast'!O42/m*seven_months</f>
        <v>0.79074363206263831</v>
      </c>
      <c r="P28" s="65">
        <f>'Volume &amp; CPI forecast'!P42/m</f>
        <v>1.45722755054119</v>
      </c>
      <c r="Q28" s="65">
        <f>'Volume &amp; CPI forecast'!Q42/m</f>
        <v>1.6029503054255201</v>
      </c>
      <c r="R28" s="65">
        <f>'Volume &amp; CPI forecast'!R42/m</f>
        <v>1.6510388141850803</v>
      </c>
      <c r="S28" s="65">
        <f>'Volume &amp; CPI forecast'!S42/m</f>
        <v>1.7005699796342804</v>
      </c>
      <c r="T28" s="65">
        <f>'Volume &amp; CPI forecast'!T42/m</f>
        <v>1.7515870787111094</v>
      </c>
      <c r="U28" s="65">
        <f>'Volume &amp; CPI forecast'!U42/m</f>
        <v>1.8041346898191499</v>
      </c>
      <c r="V28" s="65">
        <f>'Volume &amp; CPI forecast'!V42/m</f>
        <v>1.8582587305649003</v>
      </c>
      <c r="W28" s="65">
        <f>'Volume &amp; CPI forecast'!W42/m</f>
        <v>1.9140064932807497</v>
      </c>
      <c r="X28" s="457">
        <f>'Volume &amp; CPI forecast'!X42/m</f>
        <v>2.0329565565714827</v>
      </c>
      <c r="Y28" s="65">
        <f>'Volume &amp; CPI forecast'!Y42/m</f>
        <v>12.36025779861774</v>
      </c>
    </row>
    <row r="29" spans="4:25" outlineLevel="1">
      <c r="D29" s="63" t="s">
        <v>16</v>
      </c>
      <c r="E29" s="73"/>
      <c r="F29" s="73"/>
      <c r="G29" s="62"/>
      <c r="H29" s="62"/>
      <c r="I29" s="61"/>
      <c r="J29" s="60"/>
      <c r="K29" s="59"/>
      <c r="L29" s="59"/>
      <c r="M29" s="59"/>
      <c r="N29" s="458">
        <f>'Volume &amp; CPI forecast'!N44/m</f>
        <v>0.96963200000000005</v>
      </c>
      <c r="O29" s="551">
        <f>'Volume &amp; CPI forecast'!O44/m*seven_months</f>
        <v>0.51872391666666662</v>
      </c>
      <c r="P29" s="72">
        <f>'Volume &amp; CPI forecast'!P44/m</f>
        <v>0.88924099999999995</v>
      </c>
      <c r="Q29" s="72">
        <f>'Volume &amp; CPI forecast'!Q44/m</f>
        <v>0.95933800000000002</v>
      </c>
      <c r="R29" s="72">
        <f>'Volume &amp; CPI forecast'!R44/m</f>
        <v>1.013101</v>
      </c>
      <c r="S29" s="72">
        <f>'Volume &amp; CPI forecast'!S44/m</f>
        <v>1.0666100000000001</v>
      </c>
      <c r="T29" s="72">
        <f>'Volume &amp; CPI forecast'!T44/m</f>
        <v>1.111486</v>
      </c>
      <c r="U29" s="72">
        <f>'Volume &amp; CPI forecast'!U44/m</f>
        <v>1.160029</v>
      </c>
      <c r="V29" s="72">
        <f>'Volume &amp; CPI forecast'!V44/m</f>
        <v>1.2234160000000001</v>
      </c>
      <c r="W29" s="72">
        <f>'Volume &amp; CPI forecast'!W44/m</f>
        <v>1.279512</v>
      </c>
      <c r="X29" s="458">
        <f>'Volume &amp; CPI forecast'!X44/m</f>
        <v>1.326522065</v>
      </c>
      <c r="Y29" s="72">
        <f>'Volume &amp; CPI forecast'!Y44/m</f>
        <v>8.0651771165274457</v>
      </c>
    </row>
    <row r="30" spans="4:25" outlineLevel="1">
      <c r="D30" s="63" t="s">
        <v>187</v>
      </c>
      <c r="E30" s="62"/>
      <c r="F30" s="62"/>
      <c r="G30" s="62"/>
      <c r="H30" s="62"/>
      <c r="I30" s="61"/>
      <c r="J30" s="60"/>
      <c r="K30" s="59"/>
      <c r="L30" s="59"/>
      <c r="M30" s="59"/>
      <c r="N30" s="457">
        <f>'Volume &amp; CPI forecast'!N48/m</f>
        <v>1.7449079999999999</v>
      </c>
      <c r="O30" s="550">
        <f>'Volume &amp; CPI forecast'!O48/m*seven_months</f>
        <v>1.06345925</v>
      </c>
      <c r="P30" s="65">
        <f>'Volume &amp; CPI forecast'!P48/m</f>
        <v>1.9771650000000001</v>
      </c>
      <c r="Q30" s="65">
        <f>'Volume &amp; CPI forecast'!Q48/m</f>
        <v>1.9958100000000001</v>
      </c>
      <c r="R30" s="65">
        <f>'Volume &amp; CPI forecast'!R48/m</f>
        <v>2.0064320000000002</v>
      </c>
      <c r="S30" s="65">
        <f>'Volume &amp; CPI forecast'!S48/m</f>
        <v>2.002713</v>
      </c>
      <c r="T30" s="65">
        <f>'Volume &amp; CPI forecast'!T48/m</f>
        <v>2.011371</v>
      </c>
      <c r="U30" s="65">
        <f>'Volume &amp; CPI forecast'!U48/m</f>
        <v>2.0046560000000002</v>
      </c>
      <c r="V30" s="65">
        <f>'Volume &amp; CPI forecast'!V48/m</f>
        <v>2.016133</v>
      </c>
      <c r="W30" s="65">
        <f>'Volume &amp; CPI forecast'!W48/m</f>
        <v>2.0171559999999999</v>
      </c>
      <c r="X30" s="457">
        <f>'Volume &amp; CPI forecast'!X48/m</f>
        <v>2.0572611926385815</v>
      </c>
      <c r="Y30" s="65">
        <f>'Volume &amp; CPI forecast'!Y48/m</f>
        <v>12.236004900967851</v>
      </c>
    </row>
    <row r="31" spans="4:25" outlineLevel="1">
      <c r="D31" s="63" t="s">
        <v>188</v>
      </c>
      <c r="E31" s="62"/>
      <c r="F31" s="62"/>
      <c r="G31" s="62"/>
      <c r="H31" s="62"/>
      <c r="I31" s="61"/>
      <c r="J31" s="60"/>
      <c r="K31" s="59"/>
      <c r="L31" s="59"/>
      <c r="M31" s="59"/>
      <c r="N31" s="457">
        <f>'Volume &amp; CPI forecast'!N52/m</f>
        <v>0.974603</v>
      </c>
      <c r="O31" s="550">
        <f>'Volume &amp; CPI forecast'!O52/m*seven_months</f>
        <v>0.60570125000000008</v>
      </c>
      <c r="P31" s="65">
        <f>'Volume &amp; CPI forecast'!P52/m</f>
        <v>1.0948230000000001</v>
      </c>
      <c r="Q31" s="65">
        <f>'Volume &amp; CPI forecast'!Q52/m</f>
        <v>1.0962890000000001</v>
      </c>
      <c r="R31" s="65">
        <f>'Volume &amp; CPI forecast'!R52/m</f>
        <v>1.104465</v>
      </c>
      <c r="S31" s="65">
        <f>'Volume &amp; CPI forecast'!S52/m</f>
        <v>1.117308</v>
      </c>
      <c r="T31" s="65">
        <f>'Volume &amp; CPI forecast'!T52/m</f>
        <v>1.1263399999999999</v>
      </c>
      <c r="U31" s="65">
        <f>'Volume &amp; CPI forecast'!U52/m</f>
        <v>1.1395</v>
      </c>
      <c r="V31" s="65">
        <f>'Volume &amp; CPI forecast'!V52/m</f>
        <v>1.153912</v>
      </c>
      <c r="W31" s="65">
        <f>'Volume &amp; CPI forecast'!W52/m</f>
        <v>1.1618360000000001</v>
      </c>
      <c r="X31" s="457">
        <f>'Volume &amp; CPI forecast'!X52/m</f>
        <v>1.1894935419223924</v>
      </c>
      <c r="Y31" s="65">
        <f>'Volume &amp; CPI forecast'!Y52/m</f>
        <v>7.0747695337433738</v>
      </c>
    </row>
    <row r="32" spans="4:25" outlineLevel="1">
      <c r="D32" s="63"/>
      <c r="E32" s="62"/>
      <c r="F32" s="62"/>
      <c r="G32" s="62"/>
      <c r="H32" s="62"/>
      <c r="I32" s="61"/>
      <c r="J32" s="60"/>
      <c r="K32" s="59"/>
      <c r="L32" s="59"/>
      <c r="M32" s="59"/>
      <c r="N32" s="457"/>
      <c r="O32" s="65"/>
      <c r="P32" s="65"/>
      <c r="Q32" s="65"/>
      <c r="R32" s="65"/>
      <c r="S32" s="65"/>
      <c r="T32" s="65"/>
      <c r="U32" s="65"/>
      <c r="V32" s="65"/>
      <c r="W32" s="65"/>
      <c r="X32" s="457"/>
    </row>
    <row r="33" spans="1:25" outlineLevel="1">
      <c r="D33" s="395" t="s">
        <v>185</v>
      </c>
    </row>
    <row r="34" spans="1:25" outlineLevel="1">
      <c r="D34" s="63" t="s">
        <v>155</v>
      </c>
      <c r="N34" s="506">
        <v>11.1</v>
      </c>
    </row>
    <row r="35" spans="1:25" outlineLevel="1">
      <c r="D35" s="76" t="s">
        <v>18</v>
      </c>
      <c r="E35" s="73"/>
      <c r="F35" s="73"/>
      <c r="G35" s="62"/>
      <c r="H35" s="62"/>
      <c r="I35" s="61"/>
      <c r="J35" s="60"/>
      <c r="K35" s="59"/>
      <c r="L35" s="59"/>
      <c r="M35" s="59"/>
      <c r="N35" s="507">
        <v>0.93</v>
      </c>
    </row>
    <row r="36" spans="1:25" outlineLevel="1">
      <c r="D36" s="76"/>
      <c r="E36" s="73"/>
      <c r="F36" s="73"/>
      <c r="G36" s="62"/>
      <c r="H36" s="62"/>
      <c r="I36" s="61"/>
      <c r="J36" s="60"/>
      <c r="K36" s="59"/>
      <c r="L36" s="59"/>
      <c r="M36" s="59"/>
      <c r="N36" s="507"/>
    </row>
    <row r="37" spans="1:25" outlineLevel="1">
      <c r="D37" s="76"/>
      <c r="E37" s="73"/>
      <c r="F37" s="73"/>
      <c r="G37" s="62"/>
      <c r="H37" s="62"/>
      <c r="I37" s="61"/>
      <c r="J37" s="60"/>
      <c r="K37" s="59"/>
      <c r="L37" s="59"/>
      <c r="M37" s="59"/>
      <c r="N37" s="507"/>
    </row>
    <row r="38" spans="1:25" outlineLevel="1">
      <c r="D38" s="395"/>
    </row>
    <row r="39" spans="1:25" outlineLevel="1"/>
    <row r="40" spans="1:25" outlineLevel="1">
      <c r="D40" s="390" t="s">
        <v>141</v>
      </c>
      <c r="E40" s="5"/>
      <c r="F40" s="5"/>
      <c r="G40" s="5"/>
      <c r="H40" s="5"/>
      <c r="I40" s="4"/>
      <c r="J40" s="4"/>
      <c r="K40" s="2"/>
      <c r="L40" s="2"/>
      <c r="M40" s="3"/>
      <c r="N40" s="459"/>
      <c r="T40" s="2"/>
      <c r="U40" s="2"/>
      <c r="V40" s="2"/>
      <c r="W40" s="2"/>
      <c r="X40" s="459"/>
      <c r="Y40" s="3"/>
    </row>
    <row r="41" spans="1:25" outlineLevel="1">
      <c r="D41" s="88" t="s">
        <v>10</v>
      </c>
      <c r="E41" s="5"/>
      <c r="F41" s="5"/>
      <c r="G41" s="5"/>
      <c r="H41" s="5"/>
      <c r="I41" s="4"/>
      <c r="J41" s="4"/>
      <c r="K41" s="87"/>
      <c r="L41" s="87"/>
      <c r="M41" s="86"/>
      <c r="N41" s="460"/>
      <c r="O41" s="575">
        <f>AIRFIELD!O90/m</f>
        <v>14.368487742755368</v>
      </c>
      <c r="P41" s="575">
        <f>AIRFIELD!P90/m</f>
        <v>34.281981406053099</v>
      </c>
      <c r="Q41" s="575">
        <f>AIRFIELD!Q90/m</f>
        <v>35.565937846290737</v>
      </c>
      <c r="R41" s="575">
        <f>AIRFIELD!R90/m</f>
        <v>36.634785800425135</v>
      </c>
      <c r="S41" s="575">
        <f>AIRFIELD!S90/m</f>
        <v>37.838041863221868</v>
      </c>
      <c r="T41" s="575">
        <f>AIRFIELD!T90/m</f>
        <v>45.937879964057153</v>
      </c>
      <c r="U41" s="575">
        <f>AIRFIELD!U90/m</f>
        <v>46.094936418414015</v>
      </c>
      <c r="V41" s="575">
        <f>AIRFIELD!V90/m</f>
        <v>46.276055039093109</v>
      </c>
      <c r="W41" s="575">
        <f>AIRFIELD!W90/m</f>
        <v>46.491528134853034</v>
      </c>
      <c r="X41" s="575">
        <f>AIRFIELD!X90/m</f>
        <v>46.737292655768798</v>
      </c>
      <c r="Y41" s="575">
        <f>AIRFIELD!Y90/m</f>
        <v>251.32150601504486</v>
      </c>
    </row>
    <row r="42" spans="1:25" outlineLevel="1">
      <c r="D42" s="88" t="s">
        <v>9</v>
      </c>
      <c r="E42" s="5"/>
      <c r="F42" s="5"/>
      <c r="G42" s="5"/>
      <c r="H42" s="5"/>
      <c r="I42" s="4"/>
      <c r="J42" s="4"/>
      <c r="K42" s="87"/>
      <c r="L42" s="87"/>
      <c r="M42" s="86"/>
      <c r="N42" s="460"/>
      <c r="O42" s="575">
        <f>'TERM INTER'!O89/m</f>
        <v>14.788534723432614</v>
      </c>
      <c r="P42" s="575">
        <f>'TERM INTER'!P89/m</f>
        <v>26.290605861227448</v>
      </c>
      <c r="Q42" s="575">
        <f>'TERM INTER'!Q89/m</f>
        <v>26.549206789129126</v>
      </c>
      <c r="R42" s="575">
        <f>'TERM INTER'!R89/m</f>
        <v>27.162684423703215</v>
      </c>
      <c r="S42" s="575">
        <f>'TERM INTER'!S89/m</f>
        <v>27.361889675091501</v>
      </c>
      <c r="T42" s="575">
        <f>'TERM INTER'!T89/m</f>
        <v>26.881664081607699</v>
      </c>
      <c r="U42" s="575">
        <f>'TERM INTER'!U89/m</f>
        <v>26.83317000619471</v>
      </c>
      <c r="V42" s="575">
        <f>'TERM INTER'!V89/m</f>
        <v>26.799312941980304</v>
      </c>
      <c r="W42" s="575">
        <f>'TERM INTER'!W89/m</f>
        <v>26.783400462569443</v>
      </c>
      <c r="X42" s="575">
        <f>'TERM INTER'!X89/m</f>
        <v>26.809531406743595</v>
      </c>
      <c r="Y42" s="575">
        <f>'TERM INTER'!Y89/m</f>
        <v>140.61924811835584</v>
      </c>
    </row>
    <row r="43" spans="1:25" outlineLevel="1">
      <c r="D43" s="88" t="s">
        <v>8</v>
      </c>
      <c r="E43" s="5"/>
      <c r="F43" s="5"/>
      <c r="G43" s="5"/>
      <c r="H43" s="5"/>
      <c r="I43" s="4"/>
      <c r="J43" s="4"/>
      <c r="K43" s="87"/>
      <c r="L43" s="87"/>
      <c r="M43" s="86"/>
      <c r="N43" s="460"/>
      <c r="O43" s="575">
        <f>'TERM DOM - JET'!O86/m</f>
        <v>9.7046741725771177</v>
      </c>
      <c r="P43" s="575">
        <f>'TERM DOM - JET'!P86/m</f>
        <v>17.518199989113306</v>
      </c>
      <c r="Q43" s="575">
        <f>'TERM DOM - JET'!Q86/m</f>
        <v>17.498120336566721</v>
      </c>
      <c r="R43" s="575">
        <f>'TERM DOM - JET'!R86/m</f>
        <v>17.465937688431556</v>
      </c>
      <c r="S43" s="575">
        <f>'TERM DOM - JET'!S86/m</f>
        <v>17.431390589824698</v>
      </c>
      <c r="T43" s="575">
        <f>'TERM DOM - JET'!T86/m</f>
        <v>17.813806181708113</v>
      </c>
      <c r="U43" s="575">
        <f>'TERM DOM - JET'!U86/m</f>
        <v>17.771904009416389</v>
      </c>
      <c r="V43" s="575">
        <f>'TERM DOM - JET'!V86/m</f>
        <v>17.739827599536675</v>
      </c>
      <c r="W43" s="575">
        <f>'TERM DOM - JET'!W86/m</f>
        <v>17.717879831030384</v>
      </c>
      <c r="X43" s="575">
        <f>'TERM DOM - JET'!X86/m</f>
        <v>17.703428092553992</v>
      </c>
      <c r="Y43" s="575">
        <f>'TERM DOM - JET'!Y86/m</f>
        <v>92.458288630498416</v>
      </c>
    </row>
    <row r="44" spans="1:25" outlineLevel="1">
      <c r="D44" s="88" t="s">
        <v>25</v>
      </c>
      <c r="E44" s="5"/>
      <c r="F44" s="5"/>
      <c r="G44" s="5"/>
      <c r="H44" s="5"/>
      <c r="I44" s="4"/>
      <c r="J44" s="4"/>
      <c r="K44" s="87"/>
      <c r="L44" s="87"/>
      <c r="M44" s="86"/>
      <c r="N44" s="460"/>
      <c r="O44" s="575">
        <f>'TERM DOM'!O89/m</f>
        <v>2.0549094216198869</v>
      </c>
      <c r="P44" s="575">
        <f>'TERM DOM'!P89/m</f>
        <v>3.6136484848573653</v>
      </c>
      <c r="Q44" s="575">
        <f>'TERM DOM'!Q89/m</f>
        <v>3.6306154356413702</v>
      </c>
      <c r="R44" s="575">
        <f>'TERM DOM'!R89/m</f>
        <v>3.6477471547142364</v>
      </c>
      <c r="S44" s="575">
        <f>'TERM DOM'!S89/m</f>
        <v>3.6664931223924606</v>
      </c>
      <c r="T44" s="575">
        <f>'TERM DOM'!T89/m</f>
        <v>3.6439631238478669</v>
      </c>
      <c r="U44" s="575">
        <f>'TERM DOM'!U89/m</f>
        <v>3.6590038018318132</v>
      </c>
      <c r="V44" s="575">
        <f>'TERM DOM'!V89/m</f>
        <v>3.6761752226942535</v>
      </c>
      <c r="W44" s="575">
        <f>'TERM DOM'!W89/m</f>
        <v>3.6960253616762748</v>
      </c>
      <c r="X44" s="575">
        <f>'TERM DOM'!X89/m</f>
        <v>3.7180633028193615</v>
      </c>
      <c r="Y44" s="575">
        <f>'TERM DOM'!Y89/m</f>
        <v>20.178353404594734</v>
      </c>
    </row>
    <row r="45" spans="1:25" outlineLevel="1">
      <c r="A45" s="85"/>
      <c r="B45" s="85"/>
      <c r="C45" s="85"/>
      <c r="D45" s="84"/>
      <c r="E45" s="5"/>
      <c r="F45" s="5"/>
      <c r="G45" s="5"/>
      <c r="H45" s="5"/>
      <c r="I45" s="4"/>
      <c r="J45" s="4"/>
      <c r="K45" s="2"/>
      <c r="L45" s="2"/>
      <c r="M45" s="83"/>
      <c r="N45" s="508"/>
      <c r="O45" s="3"/>
      <c r="P45" s="2"/>
      <c r="Q45" s="2"/>
      <c r="R45" s="2"/>
      <c r="S45" s="2"/>
      <c r="T45" s="2"/>
      <c r="U45" s="2"/>
      <c r="V45" s="2"/>
      <c r="W45" s="2"/>
      <c r="X45" s="459"/>
      <c r="Y45" s="3"/>
    </row>
    <row r="46" spans="1:25" outlineLevel="1">
      <c r="D46" s="68" t="s">
        <v>23</v>
      </c>
      <c r="E46" s="82"/>
      <c r="F46" s="82"/>
      <c r="G46" s="82"/>
      <c r="H46" s="82"/>
      <c r="I46" s="81"/>
      <c r="J46" s="81"/>
      <c r="K46" s="80"/>
      <c r="L46" s="80"/>
      <c r="M46" s="67"/>
      <c r="N46" s="461">
        <f>NPV(WACC!$N$32, 'Pricing_and_Revenue4yr7 target '!O46:S46)</f>
        <v>253.02280621012611</v>
      </c>
      <c r="O46" s="79">
        <f t="shared" ref="O46:S46" si="3">SUM(O41:O45)</f>
        <v>40.916606060384986</v>
      </c>
      <c r="P46" s="79">
        <f t="shared" si="3"/>
        <v>81.704435741251217</v>
      </c>
      <c r="Q46" s="79">
        <f t="shared" si="3"/>
        <v>83.243880407627955</v>
      </c>
      <c r="R46" s="79">
        <f t="shared" si="3"/>
        <v>84.911155067274137</v>
      </c>
      <c r="S46" s="79">
        <f t="shared" si="3"/>
        <v>86.297815250530533</v>
      </c>
      <c r="T46" s="79">
        <f t="shared" ref="T46:Y46" si="4">SUM(T41:T45)</f>
        <v>94.27731335122084</v>
      </c>
      <c r="U46" s="79">
        <f t="shared" si="4"/>
        <v>94.359014235856932</v>
      </c>
      <c r="V46" s="79">
        <f t="shared" si="4"/>
        <v>94.491370803304349</v>
      </c>
      <c r="W46" s="79">
        <f t="shared" si="4"/>
        <v>94.688833790129138</v>
      </c>
      <c r="X46" s="461">
        <f t="shared" si="4"/>
        <v>94.968315457885751</v>
      </c>
      <c r="Y46" s="79">
        <f t="shared" si="4"/>
        <v>504.57739616849386</v>
      </c>
    </row>
    <row r="47" spans="1:25" outlineLevel="1">
      <c r="D47" s="68"/>
      <c r="E47" s="68"/>
      <c r="F47" s="68"/>
      <c r="G47" s="68"/>
      <c r="H47" s="68"/>
      <c r="I47" s="57"/>
      <c r="J47" s="57"/>
      <c r="K47" s="67"/>
      <c r="L47" s="67"/>
      <c r="M47" s="67"/>
      <c r="N47" s="462"/>
      <c r="O47" s="388"/>
      <c r="P47" s="388"/>
      <c r="Q47" s="388"/>
      <c r="R47" s="388"/>
      <c r="S47" s="388"/>
      <c r="T47" s="388"/>
      <c r="U47" s="388"/>
      <c r="V47" s="388"/>
      <c r="W47" s="388"/>
      <c r="X47" s="462"/>
      <c r="Y47" s="388"/>
    </row>
    <row r="48" spans="1:25" ht="13.5" thickBot="1">
      <c r="D48" s="68"/>
      <c r="E48" s="68"/>
      <c r="F48" s="68"/>
      <c r="G48" s="68"/>
      <c r="H48" s="68"/>
      <c r="I48" s="57"/>
      <c r="J48" s="57"/>
      <c r="K48" s="67"/>
      <c r="L48" s="67"/>
      <c r="M48" s="67"/>
      <c r="N48" s="463"/>
      <c r="O48" s="67"/>
      <c r="P48" s="67"/>
      <c r="Q48" s="67"/>
      <c r="R48" s="67"/>
      <c r="S48" s="67"/>
      <c r="T48" s="67"/>
      <c r="U48" s="67"/>
      <c r="V48" s="67"/>
      <c r="W48" s="67"/>
      <c r="X48" s="463"/>
      <c r="Y48" s="67" t="s">
        <v>182</v>
      </c>
    </row>
    <row r="49" spans="1:29" ht="24" thickBot="1">
      <c r="A49" s="56"/>
      <c r="B49" s="55"/>
      <c r="C49" s="55"/>
      <c r="D49" s="54" t="s">
        <v>172</v>
      </c>
      <c r="E49" s="54"/>
      <c r="F49" s="53"/>
      <c r="G49" s="54"/>
      <c r="H49" s="54"/>
      <c r="I49" s="53"/>
      <c r="J49" s="53"/>
      <c r="K49" s="52"/>
      <c r="L49" s="52"/>
      <c r="M49" s="51"/>
      <c r="N49" s="509"/>
      <c r="O49" s="504" t="s">
        <v>11</v>
      </c>
      <c r="P49" s="50"/>
      <c r="Q49" s="50"/>
      <c r="R49" s="50"/>
      <c r="S49" s="50"/>
      <c r="T49" s="50"/>
      <c r="U49" s="50"/>
      <c r="V49" s="50"/>
      <c r="W49" s="50"/>
      <c r="X49" s="464"/>
      <c r="Y49" s="50"/>
    </row>
    <row r="50" spans="1:29" ht="15.75">
      <c r="D50" s="49"/>
      <c r="E50" s="68"/>
      <c r="F50" s="68"/>
      <c r="G50" s="68"/>
      <c r="H50" s="68"/>
      <c r="I50" s="57"/>
      <c r="J50" s="57"/>
      <c r="K50" s="67"/>
      <c r="L50" s="67"/>
      <c r="M50" s="67"/>
      <c r="N50" s="463"/>
      <c r="O50" s="67"/>
      <c r="P50" s="67"/>
      <c r="Q50" s="67"/>
      <c r="R50" s="67"/>
      <c r="S50" s="67"/>
      <c r="T50" s="67"/>
      <c r="U50" s="67"/>
      <c r="V50" s="67"/>
      <c r="W50" s="67"/>
      <c r="X50" s="463"/>
      <c r="Y50" s="67"/>
    </row>
    <row r="51" spans="1:29" ht="13.15" customHeight="1" outlineLevel="1">
      <c r="D51" s="68" t="s">
        <v>10</v>
      </c>
      <c r="E51" s="68"/>
      <c r="F51" s="68"/>
      <c r="G51" s="68"/>
      <c r="H51" s="68"/>
      <c r="I51" s="57"/>
      <c r="J51" s="57"/>
      <c r="K51" s="67"/>
      <c r="L51" s="67"/>
      <c r="M51" s="67"/>
      <c r="N51" s="463"/>
      <c r="O51" s="67"/>
      <c r="P51" s="67"/>
      <c r="Q51" s="596"/>
      <c r="R51" s="596"/>
      <c r="S51" s="67"/>
      <c r="T51" s="67"/>
      <c r="U51" s="67"/>
      <c r="V51" s="67"/>
      <c r="W51" s="67"/>
      <c r="X51" s="463"/>
      <c r="Y51" s="67"/>
    </row>
    <row r="52" spans="1:29" ht="13.15" customHeight="1" outlineLevel="1">
      <c r="D52" s="69" t="s">
        <v>141</v>
      </c>
      <c r="E52" s="68"/>
      <c r="F52" s="68"/>
      <c r="G52" s="68"/>
      <c r="H52" s="68"/>
      <c r="I52" s="57"/>
      <c r="J52" s="57"/>
      <c r="K52" s="67"/>
      <c r="L52" s="67"/>
      <c r="M52" s="67"/>
      <c r="N52" s="465">
        <f t="shared" ref="N52:Y52" si="5">N41</f>
        <v>0</v>
      </c>
      <c r="O52" s="317">
        <f t="shared" si="5"/>
        <v>14.368487742755368</v>
      </c>
      <c r="P52" s="317">
        <f t="shared" si="5"/>
        <v>34.281981406053099</v>
      </c>
      <c r="Q52" s="317">
        <f t="shared" si="5"/>
        <v>35.565937846290737</v>
      </c>
      <c r="R52" s="317">
        <f t="shared" si="5"/>
        <v>36.634785800425135</v>
      </c>
      <c r="S52" s="317">
        <f t="shared" si="5"/>
        <v>37.838041863221868</v>
      </c>
      <c r="T52" s="317">
        <f t="shared" si="5"/>
        <v>45.937879964057153</v>
      </c>
      <c r="U52" s="317">
        <f t="shared" si="5"/>
        <v>46.094936418414015</v>
      </c>
      <c r="V52" s="317">
        <f t="shared" si="5"/>
        <v>46.276055039093109</v>
      </c>
      <c r="W52" s="317">
        <f t="shared" si="5"/>
        <v>46.491528134853034</v>
      </c>
      <c r="X52" s="467">
        <f t="shared" si="5"/>
        <v>46.737292655768798</v>
      </c>
      <c r="Y52" s="317">
        <f t="shared" si="5"/>
        <v>251.32150601504486</v>
      </c>
    </row>
    <row r="53" spans="1:29" ht="13.15" customHeight="1" outlineLevel="1">
      <c r="D53" s="69"/>
      <c r="E53" s="68"/>
      <c r="F53" s="68"/>
      <c r="G53" s="68"/>
      <c r="H53" s="68"/>
      <c r="I53" s="57"/>
      <c r="J53" s="57"/>
      <c r="K53" s="67"/>
      <c r="L53" s="67"/>
      <c r="M53" s="67"/>
      <c r="N53" s="465"/>
      <c r="O53" s="66"/>
      <c r="P53" s="66"/>
      <c r="Q53" s="66"/>
      <c r="R53" s="66"/>
      <c r="S53" s="66"/>
      <c r="T53" s="66"/>
      <c r="U53" s="66"/>
      <c r="V53" s="66"/>
      <c r="W53" s="66"/>
      <c r="X53" s="465"/>
      <c r="Y53" s="66"/>
    </row>
    <row r="54" spans="1:29" ht="13.15" customHeight="1" outlineLevel="1">
      <c r="D54" t="str">
        <f>D14</f>
        <v>Total departing movements (# of movement)</v>
      </c>
      <c r="G54">
        <f>G14</f>
        <v>0</v>
      </c>
      <c r="H54">
        <f>H14</f>
        <v>0</v>
      </c>
      <c r="I54">
        <f>I14</f>
        <v>0</v>
      </c>
      <c r="J54">
        <f>J14</f>
        <v>0</v>
      </c>
      <c r="M54"/>
      <c r="N54" s="466"/>
      <c r="O54" s="443">
        <f t="shared" ref="O54:Y54" si="6">O14</f>
        <v>22333.5</v>
      </c>
      <c r="P54" s="391">
        <f t="shared" si="6"/>
        <v>39124</v>
      </c>
      <c r="Q54" s="391">
        <f t="shared" si="6"/>
        <v>39448</v>
      </c>
      <c r="R54" s="391">
        <f t="shared" si="6"/>
        <v>39831</v>
      </c>
      <c r="S54" s="391">
        <f t="shared" si="6"/>
        <v>40176</v>
      </c>
      <c r="T54" s="391">
        <f t="shared" si="6"/>
        <v>40462</v>
      </c>
      <c r="U54" s="391">
        <f t="shared" si="6"/>
        <v>40733</v>
      </c>
      <c r="V54" s="391">
        <f t="shared" si="6"/>
        <v>41238</v>
      </c>
      <c r="W54" s="391">
        <f t="shared" si="6"/>
        <v>41541</v>
      </c>
      <c r="X54" s="466">
        <f t="shared" si="6"/>
        <v>42506.339288049523</v>
      </c>
      <c r="Y54" s="443">
        <f t="shared" si="6"/>
        <v>251996.65989583844</v>
      </c>
    </row>
    <row r="55" spans="1:29" ht="13.15" customHeight="1" outlineLevel="1">
      <c r="D55" s="69" t="s">
        <v>255</v>
      </c>
      <c r="E55" s="68"/>
      <c r="F55" s="68"/>
      <c r="G55" s="68"/>
      <c r="H55" s="68"/>
      <c r="I55" s="57"/>
      <c r="J55" s="57"/>
      <c r="K55" s="67"/>
      <c r="L55" s="67"/>
      <c r="M55" s="67"/>
      <c r="N55" s="651"/>
      <c r="O55" s="396">
        <f>O20</f>
        <v>150</v>
      </c>
      <c r="P55" s="396">
        <f t="shared" ref="P55:S55" si="7">P20</f>
        <v>153.14999999999998</v>
      </c>
      <c r="Q55" s="396">
        <f t="shared" si="7"/>
        <v>158.00799457499997</v>
      </c>
      <c r="R55" s="396">
        <f t="shared" si="7"/>
        <v>159.64983914999996</v>
      </c>
      <c r="S55" s="396">
        <f t="shared" si="7"/>
        <v>163.00248577214995</v>
      </c>
      <c r="T55" s="396">
        <f t="shared" ref="T55:Y55" si="8">S55*(1+T19)</f>
        <v>167.07754791645368</v>
      </c>
      <c r="U55" s="396">
        <f t="shared" si="8"/>
        <v>171.25448661436502</v>
      </c>
      <c r="V55" s="396">
        <f t="shared" si="8"/>
        <v>175.53584877972412</v>
      </c>
      <c r="W55" s="396">
        <f t="shared" si="8"/>
        <v>179.92424499921719</v>
      </c>
      <c r="X55" s="396">
        <f t="shared" si="8"/>
        <v>184.4223511241976</v>
      </c>
      <c r="Y55" s="396">
        <f t="shared" si="8"/>
        <v>189.03290990230252</v>
      </c>
    </row>
    <row r="56" spans="1:29" ht="13.15" customHeight="1" outlineLevel="1">
      <c r="D56" s="318" t="s">
        <v>253</v>
      </c>
      <c r="E56" s="68"/>
      <c r="F56" s="68"/>
      <c r="G56" s="68"/>
      <c r="H56" s="68"/>
      <c r="I56" s="57"/>
      <c r="J56" s="57"/>
      <c r="K56" s="67"/>
      <c r="L56" s="67"/>
      <c r="M56" s="67"/>
      <c r="N56" s="465"/>
      <c r="O56" s="578">
        <f>'Volume &amp; CPI forecast'!O32*seven_months</f>
        <v>20523.416666666668</v>
      </c>
      <c r="P56" s="577">
        <f>'Volume &amp; CPI forecast'!P32</f>
        <v>36021</v>
      </c>
      <c r="Q56" s="577">
        <f>'Volume &amp; CPI forecast'!Q32</f>
        <v>36345</v>
      </c>
      <c r="R56" s="577">
        <f>'Volume &amp; CPI forecast'!R32</f>
        <v>36720</v>
      </c>
      <c r="S56" s="577">
        <f>'Volume &amp; CPI forecast'!S32</f>
        <v>37073</v>
      </c>
      <c r="T56" s="577">
        <f>'Volume &amp; CPI forecast'!T32</f>
        <v>37359</v>
      </c>
      <c r="U56" s="577">
        <f>'Volume &amp; CPI forecast'!U32</f>
        <v>37630</v>
      </c>
      <c r="V56" s="577">
        <f>'Volume &amp; CPI forecast'!V32</f>
        <v>38127</v>
      </c>
      <c r="W56" s="577">
        <f>'Volume &amp; CPI forecast'!W32</f>
        <v>38438</v>
      </c>
      <c r="X56" s="577">
        <f>'Volume &amp; CPI forecast'!X32</f>
        <v>39342.76128381554</v>
      </c>
      <c r="Y56" s="577">
        <f>'Volume &amp; CPI forecast'!Y32</f>
        <v>233488.87427201591</v>
      </c>
    </row>
    <row r="57" spans="1:29" ht="13.15" customHeight="1" outlineLevel="1">
      <c r="D57" s="69" t="s">
        <v>256</v>
      </c>
      <c r="E57" s="68"/>
      <c r="F57" s="68"/>
      <c r="G57" s="68"/>
      <c r="H57" s="68"/>
      <c r="I57" s="57"/>
      <c r="J57" s="57"/>
      <c r="K57" s="67"/>
      <c r="L57" s="67"/>
      <c r="M57" s="67"/>
      <c r="N57" s="651"/>
      <c r="O57" s="396">
        <f>O21</f>
        <v>75</v>
      </c>
      <c r="P57" s="396">
        <f t="shared" ref="P57:Y57" si="9">P21</f>
        <v>76.574999999999989</v>
      </c>
      <c r="Q57" s="396">
        <f t="shared" si="9"/>
        <v>79.003997287499985</v>
      </c>
      <c r="R57" s="396">
        <f t="shared" si="9"/>
        <v>79.824919574999981</v>
      </c>
      <c r="S57" s="396">
        <f t="shared" si="9"/>
        <v>81.501242886074976</v>
      </c>
      <c r="T57" s="396">
        <f t="shared" si="9"/>
        <v>83.538773958226841</v>
      </c>
      <c r="U57" s="396">
        <f t="shared" si="9"/>
        <v>85.627243307182511</v>
      </c>
      <c r="V57" s="396">
        <f t="shared" si="9"/>
        <v>87.76792438986206</v>
      </c>
      <c r="W57" s="396">
        <f t="shared" si="9"/>
        <v>89.962122499608597</v>
      </c>
      <c r="X57" s="396">
        <f t="shared" si="9"/>
        <v>92.211175562098802</v>
      </c>
      <c r="Y57" s="396">
        <f t="shared" si="9"/>
        <v>94.51645495115126</v>
      </c>
    </row>
    <row r="58" spans="1:29" ht="13.15" customHeight="1" outlineLevel="1">
      <c r="D58" s="318" t="s">
        <v>254</v>
      </c>
      <c r="E58" s="68"/>
      <c r="F58" s="68"/>
      <c r="G58" s="68"/>
      <c r="H58" s="68"/>
      <c r="I58" s="57"/>
      <c r="J58" s="57"/>
      <c r="K58" s="67"/>
      <c r="L58" s="67"/>
      <c r="M58" s="67"/>
      <c r="N58" s="465"/>
      <c r="O58" s="578">
        <f>'Volume &amp; CPI forecast'!O31*seven_months</f>
        <v>1810.0833333333335</v>
      </c>
      <c r="P58" s="577">
        <f>'Volume &amp; CPI forecast'!P31</f>
        <v>3103</v>
      </c>
      <c r="Q58" s="577">
        <f>'Volume &amp; CPI forecast'!Q31</f>
        <v>3103</v>
      </c>
      <c r="R58" s="577">
        <f>'Volume &amp; CPI forecast'!R31</f>
        <v>3111</v>
      </c>
      <c r="S58" s="577">
        <f>'Volume &amp; CPI forecast'!S31</f>
        <v>3103</v>
      </c>
      <c r="T58" s="577">
        <f>'Volume &amp; CPI forecast'!T31</f>
        <v>3103</v>
      </c>
      <c r="U58" s="577">
        <f>'Volume &amp; CPI forecast'!U31</f>
        <v>3103</v>
      </c>
      <c r="V58" s="577">
        <f>'Volume &amp; CPI forecast'!V31</f>
        <v>3111</v>
      </c>
      <c r="W58" s="577">
        <f>'Volume &amp; CPI forecast'!W31</f>
        <v>3103</v>
      </c>
      <c r="X58" s="577">
        <f>'Volume &amp; CPI forecast'!X31</f>
        <v>3163.5780042339829</v>
      </c>
      <c r="Y58" s="577">
        <f>'Volume &amp; CPI forecast'!Y31</f>
        <v>18507.785623822536</v>
      </c>
    </row>
    <row r="59" spans="1:29" ht="13.15" customHeight="1" outlineLevel="1">
      <c r="D59" s="583" t="s">
        <v>148</v>
      </c>
      <c r="E59" s="584"/>
      <c r="F59" s="584"/>
      <c r="G59" s="584"/>
      <c r="H59" s="584"/>
      <c r="I59" s="585"/>
      <c r="J59" s="585"/>
      <c r="K59" s="586"/>
      <c r="L59" s="586"/>
      <c r="M59" s="586"/>
      <c r="N59" s="587"/>
      <c r="O59" s="588">
        <f t="shared" ref="O59:Y59" si="10">((O56*O55)+(O57*O58))/m</f>
        <v>3.21426875</v>
      </c>
      <c r="P59" s="588">
        <f t="shared" si="10"/>
        <v>5.7542283749999994</v>
      </c>
      <c r="Q59" s="588">
        <f t="shared" si="10"/>
        <v>5.9879499664114864</v>
      </c>
      <c r="R59" s="588">
        <f t="shared" si="10"/>
        <v>6.1106774183858237</v>
      </c>
      <c r="S59" s="588">
        <f t="shared" si="10"/>
        <v>6.295889511706406</v>
      </c>
      <c r="T59" s="588">
        <f t="shared" si="10"/>
        <v>6.5010709282031698</v>
      </c>
      <c r="U59" s="588">
        <f t="shared" si="10"/>
        <v>6.7100076672807436</v>
      </c>
      <c r="V59" s="588">
        <f t="shared" si="10"/>
        <v>6.9657013192014023</v>
      </c>
      <c r="W59" s="588">
        <f t="shared" si="10"/>
        <v>7.1950805953961963</v>
      </c>
      <c r="X59" s="588">
        <f t="shared" si="10"/>
        <v>7.5474017824321313</v>
      </c>
      <c r="Y59" s="588">
        <f t="shared" si="10"/>
        <v>45.886371619611616</v>
      </c>
      <c r="AA59" s="582"/>
      <c r="AB59" s="582"/>
      <c r="AC59" s="582"/>
    </row>
    <row r="60" spans="1:29" ht="13.15" customHeight="1" outlineLevel="1">
      <c r="D60" s="69"/>
      <c r="E60" s="68"/>
      <c r="F60" s="68"/>
      <c r="G60" s="68"/>
      <c r="H60" s="68"/>
      <c r="I60" s="57"/>
      <c r="J60" s="57"/>
      <c r="K60" s="67"/>
      <c r="L60" s="67"/>
      <c r="M60" s="67"/>
      <c r="N60" s="465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AA60" s="582"/>
      <c r="AB60" s="582"/>
      <c r="AC60" s="582"/>
    </row>
    <row r="61" spans="1:29" ht="13.15" customHeight="1" outlineLevel="1">
      <c r="D61" s="69" t="s">
        <v>149</v>
      </c>
      <c r="E61" s="68"/>
      <c r="F61" s="68"/>
      <c r="G61" s="68"/>
      <c r="H61" s="68"/>
      <c r="I61" s="57"/>
      <c r="J61" s="57"/>
      <c r="K61" s="67"/>
      <c r="L61" s="67"/>
      <c r="M61" s="67"/>
      <c r="N61" s="465"/>
      <c r="O61" s="66">
        <f t="shared" ref="O61:Y61" si="11">O52-O59</f>
        <v>11.154218992755368</v>
      </c>
      <c r="P61" s="66">
        <f t="shared" si="11"/>
        <v>28.527753031053098</v>
      </c>
      <c r="Q61" s="66">
        <f t="shared" si="11"/>
        <v>29.577987879879252</v>
      </c>
      <c r="R61" s="66">
        <f t="shared" si="11"/>
        <v>30.524108382039312</v>
      </c>
      <c r="S61" s="66">
        <f t="shared" si="11"/>
        <v>31.542152351515462</v>
      </c>
      <c r="T61" s="66">
        <f t="shared" si="11"/>
        <v>39.436809035853983</v>
      </c>
      <c r="U61" s="66">
        <f t="shared" si="11"/>
        <v>39.384928751133273</v>
      </c>
      <c r="V61" s="66">
        <f t="shared" si="11"/>
        <v>39.310353719891708</v>
      </c>
      <c r="W61" s="66">
        <f t="shared" si="11"/>
        <v>39.296447539456835</v>
      </c>
      <c r="X61" s="465">
        <f t="shared" si="11"/>
        <v>39.189890873336665</v>
      </c>
      <c r="Y61" s="66">
        <f t="shared" si="11"/>
        <v>205.43513439543324</v>
      </c>
    </row>
    <row r="62" spans="1:29" ht="13.15" customHeight="1" outlineLevel="1">
      <c r="D62" s="318" t="s">
        <v>150</v>
      </c>
      <c r="M62" s="397">
        <f>O23</f>
        <v>0.84383834067814745</v>
      </c>
      <c r="N62" s="465"/>
      <c r="O62" s="66">
        <f>O61*$M$62</f>
        <v>9.4123576464073668</v>
      </c>
      <c r="P62" s="66">
        <f t="shared" ref="P62:X62" si="12">P61*$M$62</f>
        <v>24.072811780999839</v>
      </c>
      <c r="Q62" s="66">
        <f t="shared" si="12"/>
        <v>24.959040213155664</v>
      </c>
      <c r="R62" s="66">
        <f t="shared" si="12"/>
        <v>25.757412967779985</v>
      </c>
      <c r="S62" s="66">
        <f t="shared" si="12"/>
        <v>26.616477501720134</v>
      </c>
      <c r="T62" s="66">
        <f t="shared" si="12"/>
        <v>33.278291498455999</v>
      </c>
      <c r="U62" s="66">
        <f t="shared" si="12"/>
        <v>33.234512925083365</v>
      </c>
      <c r="V62" s="66">
        <f t="shared" si="12"/>
        <v>33.171583654464463</v>
      </c>
      <c r="W62" s="66">
        <f t="shared" si="12"/>
        <v>33.159849086241124</v>
      </c>
      <c r="X62" s="465">
        <f t="shared" si="12"/>
        <v>33.069932485914087</v>
      </c>
      <c r="Y62" s="66">
        <f>Y61*$M$62</f>
        <v>173.35404292523461</v>
      </c>
    </row>
    <row r="63" spans="1:29" ht="13.15" customHeight="1" outlineLevel="1">
      <c r="D63" s="318" t="s">
        <v>152</v>
      </c>
      <c r="N63" s="468"/>
      <c r="O63" s="400">
        <f t="shared" ref="O63:Y63" si="13">O15</f>
        <v>0.81836846702243604</v>
      </c>
      <c r="P63" s="398">
        <f t="shared" si="13"/>
        <v>1.4286495960384618</v>
      </c>
      <c r="Q63" s="398">
        <f t="shared" si="13"/>
        <v>1.4544642697884618</v>
      </c>
      <c r="R63" s="398">
        <f t="shared" si="13"/>
        <v>1.4856507394038465</v>
      </c>
      <c r="S63" s="398">
        <f t="shared" si="13"/>
        <v>1.5009352052884619</v>
      </c>
      <c r="T63" s="398">
        <f t="shared" si="13"/>
        <v>1.5215821837884618</v>
      </c>
      <c r="U63" s="398">
        <f t="shared" si="13"/>
        <v>1.5365820070384619</v>
      </c>
      <c r="V63" s="398">
        <f t="shared" si="13"/>
        <v>1.5652640666346156</v>
      </c>
      <c r="W63" s="398">
        <f t="shared" si="13"/>
        <v>1.580497097788462</v>
      </c>
      <c r="X63" s="468">
        <f t="shared" si="13"/>
        <v>1.6240856462988991</v>
      </c>
      <c r="Y63" s="400">
        <f t="shared" si="13"/>
        <v>9.701666423416297</v>
      </c>
    </row>
    <row r="64" spans="1:29" ht="13.15" customHeight="1" outlineLevel="1">
      <c r="D64" s="318" t="s">
        <v>154</v>
      </c>
      <c r="E64" s="68"/>
      <c r="F64" s="68"/>
      <c r="G64" s="68"/>
      <c r="H64" s="68"/>
      <c r="I64" s="57"/>
      <c r="J64" s="57"/>
      <c r="K64" s="67"/>
      <c r="L64" s="67"/>
      <c r="M64" s="319"/>
      <c r="N64" s="465"/>
      <c r="O64" s="66">
        <f>O62/O63</f>
        <v>11.501368913508395</v>
      </c>
      <c r="P64" s="66">
        <f t="shared" ref="P64:X64" si="14">P62/P63</f>
        <v>16.850046258895073</v>
      </c>
      <c r="Q64" s="66">
        <f t="shared" si="14"/>
        <v>17.160297940344538</v>
      </c>
      <c r="R64" s="66">
        <f t="shared" si="14"/>
        <v>17.337461816978447</v>
      </c>
      <c r="S64" s="66">
        <f t="shared" si="14"/>
        <v>17.733262174102155</v>
      </c>
      <c r="T64" s="66">
        <f t="shared" si="14"/>
        <v>21.870847235868084</v>
      </c>
      <c r="U64" s="66">
        <f t="shared" si="14"/>
        <v>21.628857277287821</v>
      </c>
      <c r="V64" s="66">
        <f t="shared" si="14"/>
        <v>21.192324261161108</v>
      </c>
      <c r="W64" s="66">
        <f t="shared" si="14"/>
        <v>20.980645350529663</v>
      </c>
      <c r="X64" s="465">
        <f t="shared" si="14"/>
        <v>20.362185061653978</v>
      </c>
      <c r="Y64" s="66">
        <f>Y62/Y63</f>
        <v>17.868481079376316</v>
      </c>
    </row>
    <row r="65" spans="1:25" ht="13.15" customHeight="1" outlineLevel="1"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510"/>
      <c r="O65" s="392"/>
      <c r="P65" s="392"/>
      <c r="Q65" s="392"/>
      <c r="R65" s="392"/>
      <c r="S65" s="392"/>
      <c r="T65" s="392"/>
      <c r="U65" s="392"/>
      <c r="V65" s="392"/>
      <c r="W65" s="392"/>
      <c r="X65" s="469"/>
      <c r="Y65" s="392"/>
    </row>
    <row r="66" spans="1:25" ht="13.15" customHeight="1" outlineLevel="1">
      <c r="D66" s="318" t="s">
        <v>151</v>
      </c>
      <c r="M66" s="397">
        <f>O24</f>
        <v>0.15616165932185255</v>
      </c>
      <c r="N66" s="465"/>
      <c r="O66" s="66">
        <f>O61*$M$66</f>
        <v>1.741861346348001</v>
      </c>
      <c r="P66" s="66">
        <f t="shared" ref="P66:Y66" si="15">P61*$M$66</f>
        <v>4.4549412500532606</v>
      </c>
      <c r="Q66" s="66">
        <f t="shared" si="15"/>
        <v>4.6189476667235878</v>
      </c>
      <c r="R66" s="66">
        <f t="shared" si="15"/>
        <v>4.7666954142593267</v>
      </c>
      <c r="S66" s="66">
        <f t="shared" si="15"/>
        <v>4.9256748497953282</v>
      </c>
      <c r="T66" s="66">
        <f t="shared" si="15"/>
        <v>6.1585175373979864</v>
      </c>
      <c r="U66" s="66">
        <f t="shared" si="15"/>
        <v>6.15041582604991</v>
      </c>
      <c r="V66" s="66">
        <f t="shared" si="15"/>
        <v>6.1387700654272486</v>
      </c>
      <c r="W66" s="66">
        <f t="shared" si="15"/>
        <v>6.1365984532157096</v>
      </c>
      <c r="X66" s="66">
        <f t="shared" si="15"/>
        <v>6.1199583874225789</v>
      </c>
      <c r="Y66" s="66">
        <f t="shared" si="15"/>
        <v>32.081091470198636</v>
      </c>
    </row>
    <row r="67" spans="1:25" ht="13.15" customHeight="1" outlineLevel="1">
      <c r="D67" s="318" t="s">
        <v>153</v>
      </c>
      <c r="E67" s="68"/>
      <c r="F67" s="68"/>
      <c r="G67" s="68"/>
      <c r="H67" s="68"/>
      <c r="I67" s="57"/>
      <c r="J67" s="57"/>
      <c r="K67" s="67"/>
      <c r="L67" s="67"/>
      <c r="M67" s="319"/>
      <c r="N67" s="465"/>
      <c r="O67" s="321">
        <f t="shared" ref="O67:Y67" si="16">O16</f>
        <v>0.23949986900000039</v>
      </c>
      <c r="P67" s="321">
        <f t="shared" si="16"/>
        <v>0.43600226900000061</v>
      </c>
      <c r="Q67" s="321">
        <f t="shared" si="16"/>
        <v>0.43652583400000061</v>
      </c>
      <c r="R67" s="321">
        <f t="shared" si="16"/>
        <v>0.43938862400000067</v>
      </c>
      <c r="S67" s="321">
        <f t="shared" si="16"/>
        <v>0.44331222400000064</v>
      </c>
      <c r="T67" s="321">
        <f t="shared" si="16"/>
        <v>0.44637398400000056</v>
      </c>
      <c r="U67" s="321">
        <f t="shared" si="16"/>
        <v>0.45064767400000061</v>
      </c>
      <c r="V67" s="321">
        <f t="shared" si="16"/>
        <v>0.45544868400000066</v>
      </c>
      <c r="W67" s="321">
        <f t="shared" si="16"/>
        <v>0.45789926400000058</v>
      </c>
      <c r="X67" s="470">
        <f t="shared" si="16"/>
        <v>0.4677234037813095</v>
      </c>
      <c r="Y67" s="321">
        <f t="shared" si="16"/>
        <v>2.7563674076523035</v>
      </c>
    </row>
    <row r="68" spans="1:25" ht="13.15" customHeight="1" outlineLevel="1">
      <c r="D68" s="318" t="s">
        <v>154</v>
      </c>
      <c r="E68" s="68"/>
      <c r="F68" s="68"/>
      <c r="G68" s="68"/>
      <c r="H68" s="68"/>
      <c r="I68" s="57"/>
      <c r="J68" s="57"/>
      <c r="K68" s="67"/>
      <c r="L68" s="67"/>
      <c r="M68" s="67"/>
      <c r="N68" s="465"/>
      <c r="O68" s="66">
        <f>O66/O67</f>
        <v>7.2729114784943709</v>
      </c>
      <c r="P68" s="66">
        <f t="shared" ref="P68:X68" si="17">P66/P67</f>
        <v>10.217701986439099</v>
      </c>
      <c r="Q68" s="66">
        <f t="shared" si="17"/>
        <v>10.581155356600457</v>
      </c>
      <c r="R68" s="66">
        <f t="shared" si="17"/>
        <v>10.848472522719021</v>
      </c>
      <c r="S68" s="66">
        <f t="shared" si="17"/>
        <v>11.111073828172447</v>
      </c>
      <c r="T68" s="66">
        <f t="shared" si="17"/>
        <v>13.796766294959472</v>
      </c>
      <c r="U68" s="66">
        <f t="shared" si="17"/>
        <v>13.647947567238306</v>
      </c>
      <c r="V68" s="66">
        <f t="shared" si="17"/>
        <v>13.478510930173726</v>
      </c>
      <c r="W68" s="66">
        <f t="shared" si="17"/>
        <v>13.401634236336536</v>
      </c>
      <c r="X68" s="465">
        <f t="shared" si="17"/>
        <v>13.08456737025725</v>
      </c>
      <c r="Y68" s="66">
        <f>Y66/Y67</f>
        <v>11.638902484891609</v>
      </c>
    </row>
    <row r="69" spans="1:25" ht="13.15" customHeight="1" outlineLevel="1">
      <c r="D69" s="318"/>
      <c r="E69" s="68"/>
      <c r="F69" s="68"/>
      <c r="G69" s="68"/>
      <c r="H69" s="68"/>
      <c r="I69" s="57"/>
      <c r="J69" s="57"/>
      <c r="K69" s="67"/>
      <c r="L69" s="67"/>
      <c r="M69" s="67"/>
      <c r="N69" s="465"/>
      <c r="O69" s="66"/>
      <c r="P69" s="66"/>
      <c r="Q69" s="66"/>
      <c r="R69" s="66"/>
      <c r="S69" s="66"/>
      <c r="T69" s="66"/>
      <c r="U69" s="66"/>
      <c r="V69" s="66"/>
      <c r="W69" s="66"/>
      <c r="X69" s="465"/>
      <c r="Y69" s="66"/>
    </row>
    <row r="70" spans="1:25" ht="13.15" customHeight="1" outlineLevel="1">
      <c r="A70" s="4"/>
      <c r="B70" s="4"/>
      <c r="C70" s="4"/>
      <c r="D70" t="str">
        <f>D17</f>
        <v>Total Departing MCTOW</v>
      </c>
      <c r="N70" s="474"/>
      <c r="O70" s="65"/>
      <c r="P70" s="65"/>
      <c r="Q70" s="65"/>
      <c r="R70" s="65"/>
      <c r="S70" s="65"/>
      <c r="T70" s="65"/>
      <c r="U70" s="65"/>
      <c r="V70" s="65"/>
      <c r="W70" s="65"/>
      <c r="X70" s="457"/>
      <c r="Y70" s="65"/>
    </row>
    <row r="71" spans="1:25" ht="13.15" customHeight="1" outlineLevel="1">
      <c r="A71" s="4"/>
      <c r="B71" s="4"/>
      <c r="C71" s="4"/>
      <c r="D71" s="64" t="s">
        <v>21</v>
      </c>
      <c r="E71" s="62"/>
      <c r="F71" s="62"/>
      <c r="G71" s="62"/>
      <c r="H71" s="62"/>
      <c r="I71" s="61"/>
      <c r="J71" s="60"/>
      <c r="K71" s="59"/>
      <c r="L71" s="59"/>
      <c r="M71" s="59"/>
      <c r="N71" s="471"/>
      <c r="O71" s="58"/>
      <c r="P71" s="58"/>
      <c r="Q71" s="58"/>
      <c r="R71" s="58"/>
      <c r="S71" s="58"/>
      <c r="T71" s="58"/>
      <c r="U71" s="58"/>
      <c r="V71" s="58"/>
      <c r="W71" s="58"/>
      <c r="X71" s="471"/>
      <c r="Y71" s="58"/>
    </row>
    <row r="72" spans="1:25" ht="13.15" customHeight="1" outlineLevel="1">
      <c r="A72" s="4"/>
      <c r="B72" s="4"/>
      <c r="C72" s="4"/>
      <c r="D72" s="60"/>
      <c r="E72" s="62"/>
      <c r="F72" s="62"/>
      <c r="G72" s="62"/>
      <c r="H72" s="62"/>
      <c r="I72" s="61"/>
      <c r="J72" s="60"/>
      <c r="K72" s="59"/>
      <c r="L72" s="59"/>
      <c r="M72" s="59"/>
      <c r="N72" s="472"/>
      <c r="O72" s="78"/>
      <c r="P72" s="78"/>
      <c r="Q72" s="78"/>
      <c r="R72" s="78"/>
      <c r="S72" s="78"/>
      <c r="T72" s="78"/>
      <c r="U72" s="78"/>
      <c r="V72" s="78"/>
      <c r="W72" s="78"/>
      <c r="X72" s="472"/>
      <c r="Y72" s="78"/>
    </row>
    <row r="73" spans="1:25" ht="13.15" customHeight="1" outlineLevel="1">
      <c r="D73" s="68" t="s">
        <v>20</v>
      </c>
      <c r="E73" s="68"/>
      <c r="F73" s="68"/>
      <c r="G73" s="68"/>
      <c r="H73" s="68"/>
      <c r="I73" s="57"/>
      <c r="J73" s="57"/>
      <c r="K73" s="67"/>
      <c r="L73" s="67"/>
      <c r="M73" s="67"/>
      <c r="N73" s="463"/>
      <c r="O73" s="67"/>
      <c r="P73" s="67"/>
      <c r="Q73" s="67"/>
      <c r="R73" s="67"/>
      <c r="S73" s="67"/>
      <c r="T73" s="67"/>
      <c r="U73" s="67"/>
      <c r="V73" s="67"/>
      <c r="W73" s="67"/>
      <c r="X73" s="463"/>
      <c r="Y73" s="67"/>
    </row>
    <row r="74" spans="1:25" ht="13.15" customHeight="1" outlineLevel="1">
      <c r="D74" s="69" t="s">
        <v>141</v>
      </c>
      <c r="E74" s="68"/>
      <c r="F74" s="68"/>
      <c r="G74" s="68"/>
      <c r="H74" s="68"/>
      <c r="I74" s="57"/>
      <c r="J74" s="57"/>
      <c r="K74" s="67"/>
      <c r="L74" s="67"/>
      <c r="M74" s="67"/>
      <c r="N74" s="465">
        <f t="shared" ref="N74:Y74" si="18">N42</f>
        <v>0</v>
      </c>
      <c r="O74" s="66">
        <f t="shared" si="18"/>
        <v>14.788534723432614</v>
      </c>
      <c r="P74" s="66">
        <f t="shared" si="18"/>
        <v>26.290605861227448</v>
      </c>
      <c r="Q74" s="66">
        <f t="shared" si="18"/>
        <v>26.549206789129126</v>
      </c>
      <c r="R74" s="66">
        <f t="shared" si="18"/>
        <v>27.162684423703215</v>
      </c>
      <c r="S74" s="66">
        <f t="shared" si="18"/>
        <v>27.361889675091501</v>
      </c>
      <c r="T74" s="66">
        <f t="shared" si="18"/>
        <v>26.881664081607699</v>
      </c>
      <c r="U74" s="66">
        <f t="shared" si="18"/>
        <v>26.83317000619471</v>
      </c>
      <c r="V74" s="66">
        <f t="shared" si="18"/>
        <v>26.799312941980304</v>
      </c>
      <c r="W74" s="66">
        <f t="shared" si="18"/>
        <v>26.783400462569443</v>
      </c>
      <c r="X74" s="465">
        <f t="shared" si="18"/>
        <v>26.809531406743595</v>
      </c>
      <c r="Y74" s="66">
        <f t="shared" si="18"/>
        <v>140.61924811835584</v>
      </c>
    </row>
    <row r="75" spans="1:25" ht="13.15" customHeight="1" outlineLevel="1">
      <c r="A75" s="4"/>
      <c r="B75" s="4"/>
      <c r="C75" s="4"/>
      <c r="D75" s="63" t="s">
        <v>155</v>
      </c>
      <c r="E75" s="62"/>
      <c r="F75" s="62"/>
      <c r="G75" s="62"/>
      <c r="H75" s="62"/>
      <c r="I75" s="61"/>
      <c r="J75" s="60"/>
      <c r="K75" s="59"/>
      <c r="L75" s="59"/>
      <c r="M75" s="511">
        <f>N34</f>
        <v>11.1</v>
      </c>
      <c r="O75" s="444">
        <f t="shared" ref="O75:Y75" si="19">$M$75</f>
        <v>11.1</v>
      </c>
      <c r="P75" s="77">
        <f t="shared" si="19"/>
        <v>11.1</v>
      </c>
      <c r="Q75" s="77">
        <f t="shared" si="19"/>
        <v>11.1</v>
      </c>
      <c r="R75" s="77">
        <f t="shared" si="19"/>
        <v>11.1</v>
      </c>
      <c r="S75" s="77">
        <f t="shared" si="19"/>
        <v>11.1</v>
      </c>
      <c r="T75" s="77">
        <f t="shared" si="19"/>
        <v>11.1</v>
      </c>
      <c r="U75" s="77">
        <f t="shared" si="19"/>
        <v>11.1</v>
      </c>
      <c r="V75" s="77">
        <f t="shared" si="19"/>
        <v>11.1</v>
      </c>
      <c r="W75" s="77">
        <f t="shared" si="19"/>
        <v>11.1</v>
      </c>
      <c r="X75" s="473">
        <f t="shared" si="19"/>
        <v>11.1</v>
      </c>
      <c r="Y75" s="444">
        <f t="shared" si="19"/>
        <v>11.1</v>
      </c>
    </row>
    <row r="76" spans="1:25" ht="13.15" customHeight="1" outlineLevel="1">
      <c r="A76" s="4"/>
      <c r="B76" s="4"/>
      <c r="C76" s="4"/>
      <c r="D76" s="63" t="s">
        <v>19</v>
      </c>
      <c r="N76" s="474"/>
      <c r="O76" s="399">
        <f t="shared" ref="O76:Y76" si="20">O28</f>
        <v>0.79074363206263831</v>
      </c>
      <c r="P76" s="399">
        <f t="shared" si="20"/>
        <v>1.45722755054119</v>
      </c>
      <c r="Q76" s="399">
        <f t="shared" si="20"/>
        <v>1.6029503054255201</v>
      </c>
      <c r="R76" s="399">
        <f t="shared" si="20"/>
        <v>1.6510388141850803</v>
      </c>
      <c r="S76" s="399">
        <f t="shared" si="20"/>
        <v>1.7005699796342804</v>
      </c>
      <c r="T76" s="399">
        <f t="shared" si="20"/>
        <v>1.7515870787111094</v>
      </c>
      <c r="U76" s="399">
        <f t="shared" si="20"/>
        <v>1.8041346898191499</v>
      </c>
      <c r="V76" s="399">
        <f t="shared" si="20"/>
        <v>1.8582587305649003</v>
      </c>
      <c r="W76" s="399">
        <f t="shared" si="20"/>
        <v>1.9140064932807497</v>
      </c>
      <c r="X76" s="474">
        <f t="shared" si="20"/>
        <v>2.0329565565714827</v>
      </c>
      <c r="Y76" s="399">
        <f t="shared" si="20"/>
        <v>12.36025779861774</v>
      </c>
    </row>
    <row r="77" spans="1:25" ht="13.15" customHeight="1" outlineLevel="1">
      <c r="A77" s="4"/>
      <c r="B77" s="4"/>
      <c r="C77" s="4"/>
      <c r="D77" s="63" t="s">
        <v>257</v>
      </c>
      <c r="M77" s="512">
        <f>N35</f>
        <v>0.93</v>
      </c>
      <c r="O77" s="75">
        <f t="shared" ref="O77:Y77" si="21">$M$77</f>
        <v>0.93</v>
      </c>
      <c r="P77" s="75">
        <f t="shared" si="21"/>
        <v>0.93</v>
      </c>
      <c r="Q77" s="75">
        <f t="shared" si="21"/>
        <v>0.93</v>
      </c>
      <c r="R77" s="75">
        <f t="shared" si="21"/>
        <v>0.93</v>
      </c>
      <c r="S77" s="75">
        <f t="shared" si="21"/>
        <v>0.93</v>
      </c>
      <c r="T77" s="75">
        <f t="shared" si="21"/>
        <v>0.93</v>
      </c>
      <c r="U77" s="75">
        <f t="shared" si="21"/>
        <v>0.93</v>
      </c>
      <c r="V77" s="75">
        <f t="shared" si="21"/>
        <v>0.93</v>
      </c>
      <c r="W77" s="75">
        <f t="shared" si="21"/>
        <v>0.93</v>
      </c>
      <c r="X77" s="475">
        <f t="shared" si="21"/>
        <v>0.93</v>
      </c>
      <c r="Y77" s="75">
        <f t="shared" si="21"/>
        <v>0.93</v>
      </c>
    </row>
    <row r="78" spans="1:25" ht="13.15" customHeight="1" outlineLevel="1">
      <c r="A78" s="4"/>
      <c r="B78" s="4"/>
      <c r="C78" s="4"/>
      <c r="D78" s="63" t="s">
        <v>258</v>
      </c>
      <c r="M78" s="397"/>
      <c r="N78" s="512"/>
      <c r="O78" s="581">
        <v>0</v>
      </c>
      <c r="P78" s="581">
        <f>P75</f>
        <v>11.1</v>
      </c>
      <c r="Q78" s="581">
        <f>Q75</f>
        <v>11.1</v>
      </c>
      <c r="R78" s="581">
        <f t="shared" ref="R78:Y78" si="22">R75</f>
        <v>11.1</v>
      </c>
      <c r="S78" s="581">
        <f t="shared" si="22"/>
        <v>11.1</v>
      </c>
      <c r="T78" s="581">
        <f t="shared" si="22"/>
        <v>11.1</v>
      </c>
      <c r="U78" s="581">
        <f t="shared" si="22"/>
        <v>11.1</v>
      </c>
      <c r="V78" s="581">
        <f t="shared" si="22"/>
        <v>11.1</v>
      </c>
      <c r="W78" s="581">
        <f t="shared" si="22"/>
        <v>11.1</v>
      </c>
      <c r="X78" s="581">
        <f t="shared" si="22"/>
        <v>11.1</v>
      </c>
      <c r="Y78" s="581">
        <f t="shared" si="22"/>
        <v>11.1</v>
      </c>
    </row>
    <row r="79" spans="1:25" ht="13.15" customHeight="1" outlineLevel="1">
      <c r="A79" s="4"/>
      <c r="B79" s="4"/>
      <c r="C79" s="4"/>
      <c r="D79" s="63" t="s">
        <v>259</v>
      </c>
      <c r="M79" s="580">
        <f>6.95%*80%</f>
        <v>5.5600000000000011E-2</v>
      </c>
      <c r="O79" s="579">
        <f>$M79*O76</f>
        <v>4.3965345942682699E-2</v>
      </c>
      <c r="P79" s="579">
        <f t="shared" ref="P79:Y79" si="23">$M79*P76</f>
        <v>8.1021851810090181E-2</v>
      </c>
      <c r="Q79" s="579">
        <f t="shared" si="23"/>
        <v>8.9124036981658938E-2</v>
      </c>
      <c r="R79" s="579">
        <f t="shared" si="23"/>
        <v>9.1797758068690477E-2</v>
      </c>
      <c r="S79" s="579">
        <f t="shared" si="23"/>
        <v>9.4551690867666002E-2</v>
      </c>
      <c r="T79" s="579">
        <f t="shared" si="23"/>
        <v>9.73882415763377E-2</v>
      </c>
      <c r="U79" s="579">
        <f t="shared" si="23"/>
        <v>0.10030988875394475</v>
      </c>
      <c r="V79" s="579">
        <f t="shared" si="23"/>
        <v>0.10331918541940847</v>
      </c>
      <c r="W79" s="579">
        <f t="shared" si="23"/>
        <v>0.10641876102640971</v>
      </c>
      <c r="X79" s="579">
        <f t="shared" si="23"/>
        <v>0.11303238454537445</v>
      </c>
      <c r="Y79" s="579">
        <f t="shared" si="23"/>
        <v>0.68723033360314645</v>
      </c>
    </row>
    <row r="80" spans="1:25" ht="13.15" customHeight="1" outlineLevel="1">
      <c r="A80" s="4"/>
      <c r="B80" s="4"/>
      <c r="C80" s="4"/>
      <c r="D80" s="63" t="s">
        <v>17</v>
      </c>
      <c r="E80" s="62"/>
      <c r="F80" s="62"/>
      <c r="G80" s="62"/>
      <c r="H80" s="62"/>
      <c r="I80" s="61"/>
      <c r="J80" s="60"/>
      <c r="K80" s="59"/>
      <c r="L80" s="59"/>
      <c r="M80" s="59"/>
      <c r="N80" s="476"/>
      <c r="O80" s="592">
        <f>O75*O76*O77+O78*O79</f>
        <v>8.1628465137826147</v>
      </c>
      <c r="P80" s="592">
        <f t="shared" ref="P80:Y80" si="24">P75*P76*P77+P78*P79</f>
        <v>15.942302559328708</v>
      </c>
      <c r="Q80" s="592">
        <f t="shared" si="24"/>
        <v>17.536532813404058</v>
      </c>
      <c r="R80" s="592">
        <f t="shared" si="24"/>
        <v>18.062628793395046</v>
      </c>
      <c r="S80" s="592">
        <f t="shared" si="24"/>
        <v>18.604507668395772</v>
      </c>
      <c r="T80" s="592">
        <f t="shared" si="24"/>
        <v>19.162642895032128</v>
      </c>
      <c r="U80" s="592">
        <f t="shared" si="24"/>
        <v>19.737522168171871</v>
      </c>
      <c r="V80" s="592">
        <f t="shared" si="24"/>
        <v>20.3296478337769</v>
      </c>
      <c r="W80" s="592">
        <f t="shared" si="24"/>
        <v>20.939537277530327</v>
      </c>
      <c r="X80" s="592">
        <f t="shared" si="24"/>
        <v>22.240870001941072</v>
      </c>
      <c r="Y80" s="592">
        <f t="shared" si="24"/>
        <v>135.22319795812587</v>
      </c>
    </row>
    <row r="81" spans="1:25" ht="13.15" customHeight="1" outlineLevel="1">
      <c r="A81" s="4"/>
      <c r="B81" s="4"/>
      <c r="C81" s="4"/>
      <c r="D81" s="64" t="s">
        <v>142</v>
      </c>
      <c r="E81" s="62"/>
      <c r="F81" s="62"/>
      <c r="G81" s="62"/>
      <c r="H81" s="62"/>
      <c r="I81" s="61"/>
      <c r="J81" s="60"/>
      <c r="K81" s="59"/>
      <c r="L81" s="59"/>
      <c r="M81" s="59"/>
      <c r="N81" s="476"/>
      <c r="O81" s="74">
        <f t="shared" ref="O81:Y81" si="25">O74-O80</f>
        <v>6.6256882096499989</v>
      </c>
      <c r="P81" s="74">
        <f t="shared" si="25"/>
        <v>10.34830330189874</v>
      </c>
      <c r="Q81" s="74">
        <f t="shared" si="25"/>
        <v>9.0126739757250682</v>
      </c>
      <c r="R81" s="74">
        <f t="shared" si="25"/>
        <v>9.1000556303081694</v>
      </c>
      <c r="S81" s="74">
        <f t="shared" si="25"/>
        <v>8.7573820066957282</v>
      </c>
      <c r="T81" s="74">
        <f t="shared" si="25"/>
        <v>7.7190211865755707</v>
      </c>
      <c r="U81" s="74">
        <f t="shared" si="25"/>
        <v>7.0956478380228383</v>
      </c>
      <c r="V81" s="74">
        <f t="shared" si="25"/>
        <v>6.4696651082034045</v>
      </c>
      <c r="W81" s="74">
        <f t="shared" si="25"/>
        <v>5.8438631850391154</v>
      </c>
      <c r="X81" s="476">
        <f t="shared" si="25"/>
        <v>4.5686614048025227</v>
      </c>
      <c r="Y81" s="74">
        <f t="shared" si="25"/>
        <v>5.3960501602299757</v>
      </c>
    </row>
    <row r="82" spans="1:25" ht="13.15" customHeight="1" outlineLevel="1">
      <c r="A82" s="4"/>
      <c r="B82" s="4"/>
      <c r="C82" s="4"/>
      <c r="D82" s="63" t="s">
        <v>16</v>
      </c>
      <c r="N82" s="468"/>
      <c r="O82" s="400">
        <f t="shared" ref="O82:Y82" si="26">O29</f>
        <v>0.51872391666666662</v>
      </c>
      <c r="P82" s="400">
        <f t="shared" si="26"/>
        <v>0.88924099999999995</v>
      </c>
      <c r="Q82" s="400">
        <f t="shared" si="26"/>
        <v>0.95933800000000002</v>
      </c>
      <c r="R82" s="400">
        <f t="shared" si="26"/>
        <v>1.013101</v>
      </c>
      <c r="S82" s="400">
        <f t="shared" si="26"/>
        <v>1.0666100000000001</v>
      </c>
      <c r="T82" s="400">
        <f t="shared" si="26"/>
        <v>1.111486</v>
      </c>
      <c r="U82" s="400">
        <f t="shared" si="26"/>
        <v>1.160029</v>
      </c>
      <c r="V82" s="400">
        <f t="shared" si="26"/>
        <v>1.2234160000000001</v>
      </c>
      <c r="W82" s="400">
        <f t="shared" si="26"/>
        <v>1.279512</v>
      </c>
      <c r="X82" s="468">
        <f t="shared" si="26"/>
        <v>1.326522065</v>
      </c>
      <c r="Y82" s="400">
        <f t="shared" si="26"/>
        <v>8.0651771165274457</v>
      </c>
    </row>
    <row r="83" spans="1:25" ht="13.15" customHeight="1" outlineLevel="1">
      <c r="A83" s="4"/>
      <c r="B83" s="4"/>
      <c r="C83" s="4"/>
      <c r="D83" s="71" t="s">
        <v>15</v>
      </c>
      <c r="E83" s="62"/>
      <c r="F83" s="62"/>
      <c r="G83" s="62"/>
      <c r="H83" s="62"/>
      <c r="I83" s="61"/>
      <c r="J83" s="60"/>
      <c r="K83" s="59"/>
      <c r="L83" s="59"/>
      <c r="M83" s="59"/>
      <c r="N83" s="471"/>
      <c r="O83" s="58">
        <f t="shared" ref="O83:X83" si="27">O81/O82</f>
        <v>12.7730532500349</v>
      </c>
      <c r="P83" s="58">
        <f t="shared" si="27"/>
        <v>11.637231416341285</v>
      </c>
      <c r="Q83" s="58">
        <f t="shared" si="27"/>
        <v>9.3946804731232039</v>
      </c>
      <c r="R83" s="58">
        <f t="shared" si="27"/>
        <v>8.9823775026460044</v>
      </c>
      <c r="S83" s="58">
        <f t="shared" si="27"/>
        <v>8.2104818131235664</v>
      </c>
      <c r="T83" s="58">
        <f t="shared" si="27"/>
        <v>6.9447759005291756</v>
      </c>
      <c r="U83" s="58">
        <f t="shared" si="27"/>
        <v>6.1167848717772042</v>
      </c>
      <c r="V83" s="58">
        <f t="shared" si="27"/>
        <v>5.2881972347945458</v>
      </c>
      <c r="W83" s="58">
        <f t="shared" si="27"/>
        <v>4.5672593809507962</v>
      </c>
      <c r="X83" s="471">
        <f t="shared" si="27"/>
        <v>3.4440900195674637</v>
      </c>
      <c r="Y83" s="74">
        <f>Y81/Y82</f>
        <v>0.66905538245058493</v>
      </c>
    </row>
    <row r="84" spans="1:25" ht="13.15" customHeight="1" outlineLevel="1">
      <c r="A84" s="4"/>
      <c r="B84" s="4"/>
      <c r="C84" s="4"/>
      <c r="D84" s="63"/>
      <c r="E84" s="62"/>
      <c r="F84" s="62"/>
      <c r="G84" s="62"/>
      <c r="H84" s="62"/>
      <c r="I84" s="61"/>
      <c r="J84" s="60"/>
      <c r="K84" s="59"/>
      <c r="L84" s="59"/>
      <c r="M84" s="59"/>
      <c r="N84" s="477"/>
      <c r="O84" s="197"/>
      <c r="P84" s="70"/>
      <c r="Q84" s="70"/>
      <c r="R84" s="70"/>
      <c r="S84" s="70"/>
      <c r="T84" s="70"/>
      <c r="U84" s="70"/>
      <c r="V84" s="70"/>
      <c r="W84" s="70"/>
      <c r="X84" s="477"/>
      <c r="Y84" s="197"/>
    </row>
    <row r="85" spans="1:25" ht="13.15" customHeight="1" outlineLevel="1">
      <c r="D85" s="68" t="s">
        <v>14</v>
      </c>
      <c r="E85" s="68"/>
      <c r="F85" s="68"/>
      <c r="G85" s="68"/>
      <c r="H85" s="68"/>
      <c r="I85" s="57"/>
      <c r="J85" s="57"/>
      <c r="K85" s="67"/>
      <c r="L85" s="67"/>
      <c r="M85" s="67"/>
      <c r="N85" s="463"/>
      <c r="O85" s="67"/>
      <c r="P85" s="67"/>
      <c r="Q85" s="67"/>
      <c r="R85" s="67"/>
      <c r="S85" s="67"/>
      <c r="T85" s="67"/>
      <c r="U85" s="67"/>
      <c r="V85" s="67"/>
      <c r="W85" s="67"/>
      <c r="X85" s="463"/>
      <c r="Y85" s="67"/>
    </row>
    <row r="86" spans="1:25" ht="13.15" customHeight="1" outlineLevel="1">
      <c r="D86" s="69" t="s">
        <v>141</v>
      </c>
      <c r="E86" s="68"/>
      <c r="F86" s="68"/>
      <c r="G86" s="68"/>
      <c r="H86" s="68"/>
      <c r="I86" s="57"/>
      <c r="J86" s="57"/>
      <c r="K86" s="67"/>
      <c r="L86" s="67"/>
      <c r="M86" s="67"/>
      <c r="N86" s="465"/>
      <c r="O86" s="66">
        <f t="shared" ref="O86:Y86" si="28">O43</f>
        <v>9.7046741725771177</v>
      </c>
      <c r="P86" s="66">
        <f t="shared" si="28"/>
        <v>17.518199989113306</v>
      </c>
      <c r="Q86" s="66">
        <f t="shared" si="28"/>
        <v>17.498120336566721</v>
      </c>
      <c r="R86" s="66">
        <f t="shared" si="28"/>
        <v>17.465937688431556</v>
      </c>
      <c r="S86" s="66">
        <f t="shared" si="28"/>
        <v>17.431390589824698</v>
      </c>
      <c r="T86" s="66">
        <f t="shared" si="28"/>
        <v>17.813806181708113</v>
      </c>
      <c r="U86" s="66">
        <f t="shared" si="28"/>
        <v>17.771904009416389</v>
      </c>
      <c r="V86" s="66">
        <f t="shared" si="28"/>
        <v>17.739827599536675</v>
      </c>
      <c r="W86" s="66">
        <f t="shared" si="28"/>
        <v>17.717879831030384</v>
      </c>
      <c r="X86" s="465">
        <f t="shared" si="28"/>
        <v>17.703428092553992</v>
      </c>
      <c r="Y86" s="66">
        <f t="shared" si="28"/>
        <v>92.458288630498416</v>
      </c>
    </row>
    <row r="87" spans="1:25" ht="13.15" customHeight="1" outlineLevel="1">
      <c r="A87" s="4"/>
      <c r="B87" s="4"/>
      <c r="C87" s="4"/>
      <c r="D87" s="63" t="s">
        <v>187</v>
      </c>
      <c r="N87" s="474"/>
      <c r="O87" s="399">
        <f t="shared" ref="O87:Y87" si="29">O30</f>
        <v>1.06345925</v>
      </c>
      <c r="P87" s="399">
        <f t="shared" si="29"/>
        <v>1.9771650000000001</v>
      </c>
      <c r="Q87" s="399">
        <f t="shared" si="29"/>
        <v>1.9958100000000001</v>
      </c>
      <c r="R87" s="399">
        <f t="shared" si="29"/>
        <v>2.0064320000000002</v>
      </c>
      <c r="S87" s="399">
        <f t="shared" si="29"/>
        <v>2.002713</v>
      </c>
      <c r="T87" s="399">
        <f t="shared" si="29"/>
        <v>2.011371</v>
      </c>
      <c r="U87" s="399">
        <f t="shared" si="29"/>
        <v>2.0046560000000002</v>
      </c>
      <c r="V87" s="399">
        <f t="shared" si="29"/>
        <v>2.016133</v>
      </c>
      <c r="W87" s="399">
        <f t="shared" si="29"/>
        <v>2.0171559999999999</v>
      </c>
      <c r="X87" s="474">
        <f t="shared" si="29"/>
        <v>2.0572611926385815</v>
      </c>
      <c r="Y87" s="399">
        <f t="shared" si="29"/>
        <v>12.236004900967851</v>
      </c>
    </row>
    <row r="88" spans="1:25" ht="13.15" customHeight="1" outlineLevel="1">
      <c r="A88" s="4"/>
      <c r="B88" s="4"/>
      <c r="C88" s="4"/>
      <c r="D88" s="64" t="s">
        <v>12</v>
      </c>
      <c r="E88" s="62"/>
      <c r="F88" s="62"/>
      <c r="G88" s="62"/>
      <c r="H88" s="62"/>
      <c r="I88" s="61"/>
      <c r="J88" s="60"/>
      <c r="K88" s="59"/>
      <c r="L88" s="59"/>
      <c r="M88" s="59"/>
      <c r="N88" s="471"/>
      <c r="O88" s="58">
        <f t="shared" ref="O88:X88" si="30">O86/O87</f>
        <v>9.1255722046492309</v>
      </c>
      <c r="P88" s="58">
        <f t="shared" si="30"/>
        <v>8.8602620363567564</v>
      </c>
      <c r="Q88" s="58">
        <f t="shared" si="30"/>
        <v>8.767427929796284</v>
      </c>
      <c r="R88" s="58">
        <f t="shared" si="30"/>
        <v>8.7049736489607188</v>
      </c>
      <c r="S88" s="58">
        <f t="shared" si="30"/>
        <v>8.7038884702025197</v>
      </c>
      <c r="T88" s="58">
        <f t="shared" si="30"/>
        <v>8.8565491804883898</v>
      </c>
      <c r="U88" s="58">
        <f t="shared" si="30"/>
        <v>8.8653135547527295</v>
      </c>
      <c r="V88" s="58">
        <f t="shared" si="30"/>
        <v>8.7989371730618338</v>
      </c>
      <c r="W88" s="58">
        <f t="shared" si="30"/>
        <v>8.783594244089393</v>
      </c>
      <c r="X88" s="471">
        <f t="shared" si="30"/>
        <v>8.6053380853639236</v>
      </c>
      <c r="Y88" s="58">
        <f>Y86/Y87</f>
        <v>7.5562480874116922</v>
      </c>
    </row>
    <row r="89" spans="1:25" ht="13.15" customHeight="1" outlineLevel="1">
      <c r="A89" s="4"/>
      <c r="B89" s="4"/>
      <c r="C89" s="4"/>
      <c r="D89" s="63"/>
      <c r="E89" s="62"/>
      <c r="F89" s="62"/>
      <c r="G89" s="62"/>
      <c r="H89" s="62"/>
      <c r="I89" s="61"/>
      <c r="J89" s="60"/>
      <c r="K89" s="59"/>
      <c r="L89" s="59"/>
      <c r="M89" s="59"/>
      <c r="N89" s="471"/>
      <c r="O89" s="58"/>
      <c r="P89" s="58"/>
      <c r="Q89" s="58"/>
      <c r="R89" s="58"/>
      <c r="S89" s="58"/>
      <c r="T89" s="58"/>
      <c r="U89" s="58"/>
      <c r="V89" s="58"/>
      <c r="W89" s="58"/>
      <c r="X89" s="471"/>
      <c r="Y89" s="58"/>
    </row>
    <row r="90" spans="1:25" ht="13.15" customHeight="1" outlineLevel="1">
      <c r="D90" s="68" t="s">
        <v>13</v>
      </c>
      <c r="E90" s="68"/>
      <c r="F90" s="68"/>
      <c r="G90" s="68"/>
      <c r="H90" s="68"/>
      <c r="I90" s="57"/>
      <c r="J90" s="57"/>
      <c r="K90" s="67"/>
      <c r="L90" s="67"/>
      <c r="M90" s="67"/>
      <c r="N90" s="463"/>
      <c r="O90" s="67"/>
      <c r="P90" s="67"/>
      <c r="Q90" s="67"/>
      <c r="R90" s="67"/>
      <c r="S90" s="67"/>
      <c r="T90" s="67"/>
      <c r="U90" s="67"/>
      <c r="V90" s="67"/>
      <c r="W90" s="67"/>
      <c r="X90" s="463"/>
      <c r="Y90" s="67"/>
    </row>
    <row r="91" spans="1:25" ht="13.15" customHeight="1" outlineLevel="1">
      <c r="D91" s="69" t="s">
        <v>141</v>
      </c>
      <c r="E91" s="68"/>
      <c r="F91" s="68"/>
      <c r="G91" s="68"/>
      <c r="H91" s="68"/>
      <c r="I91" s="57"/>
      <c r="J91" s="57"/>
      <c r="K91" s="67"/>
      <c r="L91" s="67"/>
      <c r="M91" s="67"/>
      <c r="N91" s="465"/>
      <c r="O91" s="66">
        <f t="shared" ref="O91:Y91" si="31">O44</f>
        <v>2.0549094216198869</v>
      </c>
      <c r="P91" s="66">
        <f t="shared" si="31"/>
        <v>3.6136484848573653</v>
      </c>
      <c r="Q91" s="66">
        <f t="shared" si="31"/>
        <v>3.6306154356413702</v>
      </c>
      <c r="R91" s="66">
        <f t="shared" si="31"/>
        <v>3.6477471547142364</v>
      </c>
      <c r="S91" s="66">
        <f t="shared" si="31"/>
        <v>3.6664931223924606</v>
      </c>
      <c r="T91" s="66">
        <f t="shared" si="31"/>
        <v>3.6439631238478669</v>
      </c>
      <c r="U91" s="66">
        <f t="shared" si="31"/>
        <v>3.6590038018318132</v>
      </c>
      <c r="V91" s="66">
        <f t="shared" si="31"/>
        <v>3.6761752226942535</v>
      </c>
      <c r="W91" s="66">
        <f t="shared" si="31"/>
        <v>3.6960253616762748</v>
      </c>
      <c r="X91" s="465">
        <f t="shared" si="31"/>
        <v>3.7180633028193615</v>
      </c>
      <c r="Y91" s="66">
        <f t="shared" si="31"/>
        <v>20.178353404594734</v>
      </c>
    </row>
    <row r="92" spans="1:25" ht="13.15" customHeight="1" outlineLevel="1">
      <c r="A92" s="4"/>
      <c r="B92" s="4"/>
      <c r="C92" s="4"/>
      <c r="D92" s="63" t="s">
        <v>188</v>
      </c>
      <c r="N92" s="474"/>
      <c r="O92" s="399">
        <f t="shared" ref="O92:Y92" si="32">O31</f>
        <v>0.60570125000000008</v>
      </c>
      <c r="P92" s="399">
        <f t="shared" si="32"/>
        <v>1.0948230000000001</v>
      </c>
      <c r="Q92" s="399">
        <f t="shared" si="32"/>
        <v>1.0962890000000001</v>
      </c>
      <c r="R92" s="399">
        <f t="shared" si="32"/>
        <v>1.104465</v>
      </c>
      <c r="S92" s="399">
        <f t="shared" si="32"/>
        <v>1.117308</v>
      </c>
      <c r="T92" s="399">
        <f t="shared" si="32"/>
        <v>1.1263399999999999</v>
      </c>
      <c r="U92" s="399">
        <f t="shared" si="32"/>
        <v>1.1395</v>
      </c>
      <c r="V92" s="399">
        <f t="shared" si="32"/>
        <v>1.153912</v>
      </c>
      <c r="W92" s="399">
        <f t="shared" si="32"/>
        <v>1.1618360000000001</v>
      </c>
      <c r="X92" s="474">
        <f t="shared" si="32"/>
        <v>1.1894935419223924</v>
      </c>
      <c r="Y92" s="399">
        <f t="shared" si="32"/>
        <v>7.0747695337433738</v>
      </c>
    </row>
    <row r="93" spans="1:25" ht="13.15" customHeight="1" outlineLevel="1">
      <c r="A93" s="4"/>
      <c r="B93" s="4"/>
      <c r="C93" s="4"/>
      <c r="D93" s="64" t="s">
        <v>12</v>
      </c>
      <c r="E93" s="62"/>
      <c r="F93" s="62"/>
      <c r="G93" s="62"/>
      <c r="H93" s="62"/>
      <c r="I93" s="61"/>
      <c r="J93" s="60"/>
      <c r="K93" s="59"/>
      <c r="L93" s="59"/>
      <c r="M93" s="59"/>
      <c r="N93" s="471"/>
      <c r="O93" s="58">
        <f t="shared" ref="O93:X93" si="33">O91/O92</f>
        <v>3.3926121526410693</v>
      </c>
      <c r="P93" s="58">
        <f t="shared" si="33"/>
        <v>3.3006691354286173</v>
      </c>
      <c r="Q93" s="58">
        <f t="shared" si="33"/>
        <v>3.31173206667345</v>
      </c>
      <c r="R93" s="58">
        <f t="shared" si="33"/>
        <v>3.3027277050103319</v>
      </c>
      <c r="S93" s="58">
        <f t="shared" si="33"/>
        <v>3.2815419941434776</v>
      </c>
      <c r="T93" s="58">
        <f t="shared" si="33"/>
        <v>3.2352248200790767</v>
      </c>
      <c r="U93" s="58">
        <f t="shared" si="33"/>
        <v>3.211060817754992</v>
      </c>
      <c r="V93" s="58">
        <f t="shared" si="33"/>
        <v>3.1858367212527932</v>
      </c>
      <c r="W93" s="58">
        <f t="shared" si="33"/>
        <v>3.1811936983156612</v>
      </c>
      <c r="X93" s="471">
        <f t="shared" si="33"/>
        <v>3.1257532485720243</v>
      </c>
      <c r="Y93" s="58">
        <f>Y91/Y92</f>
        <v>2.8521569937159557</v>
      </c>
    </row>
    <row r="94" spans="1:25" ht="13.15" customHeight="1" outlineLevel="1">
      <c r="A94" s="4"/>
      <c r="B94" s="4"/>
      <c r="C94" s="4"/>
      <c r="D94" s="64"/>
      <c r="E94" s="62"/>
      <c r="F94" s="62"/>
      <c r="G94" s="62"/>
      <c r="H94" s="62"/>
      <c r="I94" s="61"/>
      <c r="J94" s="60"/>
      <c r="K94" s="59"/>
      <c r="L94" s="59"/>
      <c r="M94" s="59"/>
      <c r="N94" s="471"/>
      <c r="O94" s="58"/>
      <c r="P94" s="58"/>
      <c r="Q94" s="58"/>
      <c r="R94" s="58"/>
      <c r="S94" s="58"/>
      <c r="T94" s="58"/>
      <c r="U94" s="58"/>
      <c r="V94" s="58"/>
      <c r="W94" s="58"/>
      <c r="X94" s="471"/>
      <c r="Y94" s="58"/>
    </row>
    <row r="95" spans="1:25" ht="13.15" customHeight="1" outlineLevel="1">
      <c r="A95" s="4"/>
      <c r="B95" s="4"/>
      <c r="C95" s="4"/>
      <c r="D95" s="64"/>
      <c r="E95" s="62"/>
      <c r="F95" s="62"/>
      <c r="G95" s="62"/>
      <c r="H95" s="62"/>
      <c r="I95" s="61"/>
      <c r="J95" s="60"/>
      <c r="K95" s="59"/>
      <c r="L95" s="59"/>
      <c r="M95" s="59"/>
      <c r="N95" s="471"/>
      <c r="O95" s="58"/>
      <c r="P95" s="58"/>
      <c r="Q95" s="58"/>
      <c r="R95" s="58"/>
      <c r="S95" s="58"/>
      <c r="T95" s="58"/>
      <c r="U95" s="58"/>
      <c r="V95" s="58"/>
      <c r="W95" s="58"/>
      <c r="X95" s="471"/>
      <c r="Y95" s="58"/>
    </row>
    <row r="96" spans="1:25">
      <c r="A96" s="4"/>
      <c r="B96" s="4"/>
      <c r="C96" s="4"/>
      <c r="D96" s="63"/>
      <c r="E96" s="62"/>
      <c r="F96" s="62"/>
      <c r="G96" s="62"/>
      <c r="H96" s="62"/>
      <c r="I96" s="61"/>
      <c r="J96" s="60"/>
      <c r="K96" s="59"/>
      <c r="L96" s="59"/>
      <c r="M96" s="59"/>
      <c r="N96" s="471"/>
      <c r="O96" s="58"/>
      <c r="P96" s="58"/>
      <c r="Q96" s="58"/>
      <c r="R96" s="58"/>
      <c r="S96" s="58"/>
      <c r="T96" s="58"/>
      <c r="U96" s="58"/>
      <c r="V96" s="58"/>
      <c r="W96" s="58"/>
      <c r="X96" s="471"/>
      <c r="Y96" s="58"/>
    </row>
    <row r="97" spans="1:35" ht="13.5" thickBot="1">
      <c r="A97" s="57"/>
      <c r="B97" s="57"/>
      <c r="C97" s="57"/>
      <c r="D97" s="8"/>
      <c r="E97" s="8"/>
      <c r="F97" s="13"/>
      <c r="G97" s="8"/>
      <c r="H97" s="8"/>
      <c r="I97" s="13"/>
      <c r="J97" s="7"/>
      <c r="K97" s="13"/>
      <c r="L97" s="13"/>
      <c r="M97" s="28"/>
      <c r="N97" s="478"/>
      <c r="O97" s="28"/>
      <c r="P97" s="28"/>
      <c r="Q97" s="28"/>
      <c r="R97" s="28"/>
      <c r="S97" s="28"/>
      <c r="T97" s="28"/>
      <c r="U97" s="28"/>
      <c r="V97" s="28"/>
      <c r="W97" s="28"/>
      <c r="X97" s="478"/>
      <c r="Y97" s="28"/>
    </row>
    <row r="98" spans="1:35" ht="24" thickBot="1">
      <c r="A98" s="56"/>
      <c r="B98" s="55"/>
      <c r="C98" s="55"/>
      <c r="D98" s="54" t="s">
        <v>173</v>
      </c>
      <c r="E98" s="54"/>
      <c r="F98" s="53"/>
      <c r="G98" s="54"/>
      <c r="H98" s="54"/>
      <c r="I98" s="53"/>
      <c r="J98" s="53"/>
      <c r="K98" s="52"/>
      <c r="L98" s="52"/>
      <c r="M98" s="51"/>
      <c r="N98" s="509"/>
      <c r="O98" s="504" t="s">
        <v>11</v>
      </c>
      <c r="P98" s="50"/>
      <c r="Q98" s="50"/>
      <c r="R98" s="50"/>
      <c r="S98" s="50"/>
      <c r="T98" s="50"/>
      <c r="U98" s="50"/>
      <c r="V98" s="50"/>
      <c r="W98" s="50"/>
      <c r="X98" s="464"/>
      <c r="Y98" s="50"/>
    </row>
    <row r="99" spans="1:35" ht="15.75">
      <c r="A99" s="4"/>
      <c r="B99" s="4"/>
      <c r="C99" s="4"/>
      <c r="D99" s="49"/>
      <c r="E99" s="44"/>
      <c r="F99" s="48"/>
      <c r="G99" s="49"/>
      <c r="H99" s="44"/>
      <c r="I99" s="48"/>
      <c r="J99" s="48"/>
      <c r="K99" s="47"/>
      <c r="L99" s="47"/>
      <c r="M99" s="46"/>
      <c r="N99" s="479"/>
      <c r="O99" s="45"/>
      <c r="P99" s="45"/>
      <c r="Q99" s="45"/>
      <c r="R99" s="45"/>
      <c r="S99" s="45"/>
      <c r="T99" s="45"/>
      <c r="U99" s="45"/>
      <c r="V99" s="45"/>
      <c r="W99" s="45"/>
      <c r="X99" s="479"/>
      <c r="Y99" s="45"/>
    </row>
    <row r="100" spans="1:35" outlineLevel="1">
      <c r="A100" s="4"/>
      <c r="B100" s="4"/>
      <c r="C100" s="4"/>
      <c r="D100" s="42" t="s">
        <v>10</v>
      </c>
      <c r="E100" s="8"/>
      <c r="F100" s="13"/>
      <c r="G100" s="8"/>
      <c r="H100" s="8"/>
      <c r="I100" s="41"/>
      <c r="J100" s="7"/>
      <c r="K100" s="13"/>
      <c r="L100" s="13"/>
      <c r="Y100" s="33"/>
    </row>
    <row r="101" spans="1:35" outlineLevel="1">
      <c r="A101" s="4"/>
      <c r="B101" s="4"/>
      <c r="C101" s="4"/>
      <c r="D101" s="44" t="s">
        <v>160</v>
      </c>
      <c r="E101" s="8"/>
      <c r="F101" s="13"/>
      <c r="G101" s="8"/>
      <c r="H101" s="8"/>
      <c r="I101" s="41"/>
      <c r="J101" s="7"/>
      <c r="K101" s="13"/>
      <c r="L101" s="13"/>
      <c r="M101" s="13"/>
      <c r="N101" s="480"/>
      <c r="O101" s="33"/>
      <c r="P101" s="33"/>
      <c r="Q101" s="33"/>
      <c r="R101" s="33"/>
      <c r="S101" s="33"/>
      <c r="T101" s="33"/>
      <c r="U101" s="33"/>
      <c r="V101" s="33"/>
      <c r="W101" s="33"/>
      <c r="X101" s="480"/>
      <c r="Y101" s="33"/>
    </row>
    <row r="102" spans="1:35" outlineLevel="1">
      <c r="A102" s="4"/>
      <c r="B102" s="4"/>
      <c r="C102" s="4"/>
      <c r="D102" s="76" t="s">
        <v>156</v>
      </c>
      <c r="E102" s="8"/>
      <c r="F102" s="13"/>
      <c r="G102" s="8"/>
      <c r="H102" s="8"/>
      <c r="I102" s="41"/>
      <c r="J102" s="7"/>
      <c r="K102" s="13"/>
      <c r="L102" s="13"/>
      <c r="M102" s="13"/>
      <c r="N102" s="480"/>
      <c r="O102" s="337">
        <f>O59</f>
        <v>3.21426875</v>
      </c>
      <c r="P102" s="337">
        <f t="shared" ref="P102:Y102" si="34">P59</f>
        <v>5.7542283749999994</v>
      </c>
      <c r="Q102" s="337">
        <f t="shared" si="34"/>
        <v>5.9879499664114864</v>
      </c>
      <c r="R102" s="337">
        <f t="shared" si="34"/>
        <v>6.1106774183858237</v>
      </c>
      <c r="S102" s="337">
        <f t="shared" si="34"/>
        <v>6.295889511706406</v>
      </c>
      <c r="T102" s="337">
        <f t="shared" si="34"/>
        <v>6.5010709282031698</v>
      </c>
      <c r="U102" s="337">
        <f t="shared" si="34"/>
        <v>6.7100076672807436</v>
      </c>
      <c r="V102" s="337">
        <f t="shared" si="34"/>
        <v>6.9657013192014023</v>
      </c>
      <c r="W102" s="337">
        <f t="shared" si="34"/>
        <v>7.1950805953961963</v>
      </c>
      <c r="X102" s="337">
        <f t="shared" si="34"/>
        <v>7.5474017824321313</v>
      </c>
      <c r="Y102" s="337">
        <f t="shared" si="34"/>
        <v>45.886371619611616</v>
      </c>
    </row>
    <row r="103" spans="1:35" outlineLevel="1">
      <c r="A103" s="4"/>
      <c r="B103" s="4"/>
      <c r="C103" s="4"/>
      <c r="D103" s="76"/>
      <c r="E103" s="8"/>
      <c r="F103" s="13"/>
      <c r="G103" s="8"/>
      <c r="H103" s="8"/>
      <c r="I103" s="41"/>
      <c r="J103" s="7"/>
      <c r="K103" s="13"/>
      <c r="L103" s="13"/>
      <c r="M103" s="13"/>
      <c r="N103" s="480"/>
      <c r="O103" s="33"/>
      <c r="P103" s="33"/>
      <c r="Q103" s="33"/>
      <c r="R103" s="33"/>
      <c r="S103" s="33"/>
      <c r="T103" s="33"/>
      <c r="U103" s="33"/>
      <c r="V103" s="33"/>
      <c r="W103" s="33"/>
      <c r="X103" s="480"/>
      <c r="Y103" s="33"/>
    </row>
    <row r="104" spans="1:35" outlineLevel="1">
      <c r="A104" s="4"/>
      <c r="B104" s="4"/>
      <c r="C104" s="4"/>
      <c r="D104" s="425" t="s">
        <v>157</v>
      </c>
      <c r="E104" s="8"/>
      <c r="F104" s="13"/>
      <c r="G104" s="8"/>
      <c r="H104" s="8"/>
      <c r="I104" s="41"/>
      <c r="J104" s="7"/>
      <c r="K104" s="13"/>
      <c r="L104" s="13"/>
      <c r="M104" s="13"/>
      <c r="N104" s="480"/>
      <c r="O104" s="33">
        <v>16.041945661478177</v>
      </c>
      <c r="P104" s="337">
        <f>O104*(1+P105)</f>
        <v>16.378826520369216</v>
      </c>
      <c r="Q104" s="337">
        <f t="shared" ref="Q104:Y104" si="35">P104*(1+Q105)</f>
        <v>16.722781877296967</v>
      </c>
      <c r="R104" s="337">
        <f t="shared" si="35"/>
        <v>17.073960296720202</v>
      </c>
      <c r="S104" s="337">
        <f t="shared" si="35"/>
        <v>17.432513462951324</v>
      </c>
      <c r="T104" s="337">
        <f t="shared" si="35"/>
        <v>17.868326299525105</v>
      </c>
      <c r="U104" s="337">
        <f t="shared" si="35"/>
        <v>18.31503445701323</v>
      </c>
      <c r="V104" s="337">
        <f t="shared" si="35"/>
        <v>18.772910318438559</v>
      </c>
      <c r="W104" s="337">
        <f t="shared" si="35"/>
        <v>19.242233076399522</v>
      </c>
      <c r="X104" s="481">
        <f t="shared" si="35"/>
        <v>19.723288903309509</v>
      </c>
      <c r="Y104" s="337">
        <f t="shared" si="35"/>
        <v>20.216371125892245</v>
      </c>
    </row>
    <row r="105" spans="1:35" outlineLevel="1">
      <c r="A105" s="4"/>
      <c r="B105" s="4"/>
      <c r="C105" s="4"/>
      <c r="D105" s="76" t="s">
        <v>177</v>
      </c>
      <c r="E105" s="8"/>
      <c r="F105" s="13"/>
      <c r="G105" s="8"/>
      <c r="H105" s="8"/>
      <c r="I105" s="41"/>
      <c r="J105" s="7"/>
      <c r="K105" s="13"/>
      <c r="L105" s="13"/>
      <c r="M105" s="13"/>
      <c r="N105" s="480"/>
      <c r="O105" s="33"/>
      <c r="P105" s="30">
        <f>'Volume &amp; CPI forecast'!P13</f>
        <v>2.1000000000000001E-2</v>
      </c>
      <c r="Q105" s="30">
        <f>'Volume &amp; CPI forecast'!Q13</f>
        <v>2.1000000000000001E-2</v>
      </c>
      <c r="R105" s="30">
        <f>'Volume &amp; CPI forecast'!R13</f>
        <v>2.1000000000000001E-2</v>
      </c>
      <c r="S105" s="30">
        <f>'Volume &amp; CPI forecast'!S13</f>
        <v>2.1000000000000001E-2</v>
      </c>
      <c r="T105" s="30">
        <f>'Volume &amp; CPI forecast'!T13</f>
        <v>2.5000000000000001E-2</v>
      </c>
      <c r="U105" s="30">
        <f>'Volume &amp; CPI forecast'!U13</f>
        <v>2.5000000000000001E-2</v>
      </c>
      <c r="V105" s="30">
        <f>'Volume &amp; CPI forecast'!V13</f>
        <v>2.5000000000000001E-2</v>
      </c>
      <c r="W105" s="30">
        <f>'Volume &amp; CPI forecast'!W13</f>
        <v>2.5000000000000001E-2</v>
      </c>
      <c r="X105" s="485">
        <f>'Volume &amp; CPI forecast'!X13</f>
        <v>2.5000000000000001E-2</v>
      </c>
      <c r="Y105" s="30">
        <f>'Volume &amp; CPI forecast'!Y13</f>
        <v>2.5000000000000001E-2</v>
      </c>
      <c r="Z105" s="393"/>
      <c r="AA105" s="393"/>
      <c r="AB105" s="393"/>
      <c r="AC105" s="393"/>
      <c r="AD105" s="393"/>
      <c r="AE105" s="393"/>
      <c r="AF105" s="393"/>
      <c r="AG105" s="393"/>
      <c r="AH105" s="393"/>
      <c r="AI105" s="393"/>
    </row>
    <row r="106" spans="1:35" outlineLevel="1">
      <c r="A106" s="4"/>
      <c r="B106" s="4"/>
      <c r="C106" s="4"/>
      <c r="D106" s="69" t="s">
        <v>152</v>
      </c>
      <c r="E106" s="8"/>
      <c r="F106" s="13"/>
      <c r="G106" s="8"/>
      <c r="H106" s="8"/>
      <c r="I106" s="41"/>
      <c r="J106" s="7"/>
      <c r="K106" s="13"/>
      <c r="L106" s="13"/>
      <c r="M106" s="13"/>
      <c r="N106" s="480"/>
      <c r="O106" s="322">
        <f t="shared" ref="O106:Y106" si="36">O15</f>
        <v>0.81836846702243604</v>
      </c>
      <c r="P106" s="322">
        <f t="shared" si="36"/>
        <v>1.4286495960384618</v>
      </c>
      <c r="Q106" s="322">
        <f t="shared" si="36"/>
        <v>1.4544642697884618</v>
      </c>
      <c r="R106" s="322">
        <f t="shared" si="36"/>
        <v>1.4856507394038465</v>
      </c>
      <c r="S106" s="322">
        <f t="shared" si="36"/>
        <v>1.5009352052884619</v>
      </c>
      <c r="T106" s="322">
        <f t="shared" si="36"/>
        <v>1.5215821837884618</v>
      </c>
      <c r="U106" s="322">
        <f t="shared" si="36"/>
        <v>1.5365820070384619</v>
      </c>
      <c r="V106" s="322">
        <f t="shared" si="36"/>
        <v>1.5652640666346156</v>
      </c>
      <c r="W106" s="322">
        <f t="shared" si="36"/>
        <v>1.580497097788462</v>
      </c>
      <c r="X106" s="402">
        <f t="shared" si="36"/>
        <v>1.6240856462988991</v>
      </c>
      <c r="Y106" s="322">
        <f t="shared" si="36"/>
        <v>9.701666423416297</v>
      </c>
    </row>
    <row r="107" spans="1:35" outlineLevel="1">
      <c r="A107" s="4"/>
      <c r="B107" s="4"/>
      <c r="C107" s="4"/>
      <c r="D107" s="76" t="s">
        <v>198</v>
      </c>
      <c r="E107" s="8"/>
      <c r="F107" s="13"/>
      <c r="G107" s="8"/>
      <c r="H107" s="8"/>
      <c r="I107" s="41"/>
      <c r="J107" s="7"/>
      <c r="K107" s="13"/>
      <c r="L107" s="13"/>
      <c r="M107" s="13"/>
      <c r="N107" s="480"/>
      <c r="O107" s="32">
        <f t="shared" ref="O107:Y107" si="37">O104*O106</f>
        <v>13.128222479041115</v>
      </c>
      <c r="P107" s="32">
        <f t="shared" si="37"/>
        <v>23.399603891909525</v>
      </c>
      <c r="Q107" s="32">
        <f t="shared" si="37"/>
        <v>24.322688731994454</v>
      </c>
      <c r="R107" s="32">
        <f t="shared" si="37"/>
        <v>25.365941739374286</v>
      </c>
      <c r="S107" s="32">
        <f t="shared" si="37"/>
        <v>26.165073173208722</v>
      </c>
      <c r="T107" s="32">
        <f t="shared" si="37"/>
        <v>27.188126951476214</v>
      </c>
      <c r="U107" s="32">
        <f t="shared" si="37"/>
        <v>28.142552404935977</v>
      </c>
      <c r="V107" s="32">
        <f t="shared" si="37"/>
        <v>29.384561947606073</v>
      </c>
      <c r="W107" s="32">
        <f t="shared" si="37"/>
        <v>30.412293532218595</v>
      </c>
      <c r="X107" s="482">
        <f t="shared" si="37"/>
        <v>32.032310405671325</v>
      </c>
      <c r="Y107" s="32">
        <f t="shared" si="37"/>
        <v>196.13248895539152</v>
      </c>
    </row>
    <row r="108" spans="1:35" outlineLevel="1">
      <c r="A108" s="4"/>
      <c r="B108" s="4"/>
      <c r="C108" s="4"/>
      <c r="D108" s="76" t="s">
        <v>192</v>
      </c>
      <c r="E108" s="8"/>
      <c r="F108" s="13"/>
      <c r="G108" s="8"/>
      <c r="H108" s="8"/>
      <c r="I108" s="41"/>
      <c r="J108" s="7"/>
      <c r="K108" s="13"/>
      <c r="L108" s="13"/>
      <c r="M108" s="13"/>
      <c r="N108" s="480"/>
      <c r="O108" s="32">
        <f t="shared" ref="O108:Y108" si="38">O62</f>
        <v>9.4123576464073668</v>
      </c>
      <c r="P108" s="32">
        <f t="shared" si="38"/>
        <v>24.072811780999839</v>
      </c>
      <c r="Q108" s="32">
        <f t="shared" si="38"/>
        <v>24.959040213155664</v>
      </c>
      <c r="R108" s="32">
        <f t="shared" si="38"/>
        <v>25.757412967779985</v>
      </c>
      <c r="S108" s="32">
        <f t="shared" si="38"/>
        <v>26.616477501720134</v>
      </c>
      <c r="T108" s="32">
        <f t="shared" si="38"/>
        <v>33.278291498455999</v>
      </c>
      <c r="U108" s="32">
        <f t="shared" si="38"/>
        <v>33.234512925083365</v>
      </c>
      <c r="V108" s="32">
        <f t="shared" si="38"/>
        <v>33.171583654464463</v>
      </c>
      <c r="W108" s="32">
        <f t="shared" si="38"/>
        <v>33.159849086241124</v>
      </c>
      <c r="X108" s="482">
        <f t="shared" si="38"/>
        <v>33.069932485914087</v>
      </c>
      <c r="Y108" s="32">
        <f t="shared" si="38"/>
        <v>173.35404292523461</v>
      </c>
    </row>
    <row r="109" spans="1:35" outlineLevel="1">
      <c r="A109" s="4"/>
      <c r="B109" s="4"/>
      <c r="C109" s="4"/>
      <c r="D109" s="29" t="s">
        <v>143</v>
      </c>
      <c r="E109" s="8"/>
      <c r="F109" s="13"/>
      <c r="G109" s="8"/>
      <c r="H109" s="8"/>
      <c r="I109" s="41"/>
      <c r="J109" s="7"/>
      <c r="K109" s="13"/>
      <c r="L109" s="13"/>
      <c r="M109" s="13"/>
      <c r="N109" s="480"/>
      <c r="O109" s="27">
        <f>O107-O108</f>
        <v>3.7158648326337484</v>
      </c>
      <c r="P109" s="27">
        <f t="shared" ref="P109:Y109" si="39">P107-P108</f>
        <v>-0.67320788909031393</v>
      </c>
      <c r="Q109" s="27">
        <f t="shared" si="39"/>
        <v>-0.63635148116120988</v>
      </c>
      <c r="R109" s="27">
        <f t="shared" si="39"/>
        <v>-0.39147122840569892</v>
      </c>
      <c r="S109" s="27">
        <f t="shared" si="39"/>
        <v>-0.45140432851141199</v>
      </c>
      <c r="T109" s="27">
        <f t="shared" si="39"/>
        <v>-6.0901645469797856</v>
      </c>
      <c r="U109" s="27">
        <f t="shared" si="39"/>
        <v>-5.0919605201473885</v>
      </c>
      <c r="V109" s="27">
        <f t="shared" si="39"/>
        <v>-3.7870217068583898</v>
      </c>
      <c r="W109" s="27">
        <f t="shared" si="39"/>
        <v>-2.7475555540225294</v>
      </c>
      <c r="X109" s="483">
        <f t="shared" si="39"/>
        <v>-1.0376220802427625</v>
      </c>
      <c r="Y109" s="27">
        <f t="shared" si="39"/>
        <v>22.778446030156914</v>
      </c>
    </row>
    <row r="110" spans="1:35" outlineLevel="2">
      <c r="A110" s="4"/>
      <c r="B110" s="4"/>
      <c r="C110" s="4"/>
      <c r="D110" s="29" t="s">
        <v>4</v>
      </c>
      <c r="E110" s="8"/>
      <c r="F110" s="13"/>
      <c r="G110" s="8"/>
      <c r="H110" s="8"/>
      <c r="I110" s="13"/>
      <c r="J110" s="7"/>
      <c r="K110" s="13"/>
      <c r="L110" s="13"/>
      <c r="M110" s="13"/>
      <c r="N110" s="484"/>
      <c r="O110" s="31">
        <f>WACC!O37</f>
        <v>0.5</v>
      </c>
      <c r="P110" s="31">
        <f>WACC!P37</f>
        <v>1.5</v>
      </c>
      <c r="Q110" s="31">
        <f>WACC!Q37</f>
        <v>2.5</v>
      </c>
      <c r="R110" s="31">
        <f>WACC!R37</f>
        <v>3.5</v>
      </c>
      <c r="S110" s="31">
        <f>WACC!S37</f>
        <v>4.5</v>
      </c>
      <c r="T110" s="31">
        <f>WACC!T37</f>
        <v>5.5</v>
      </c>
      <c r="U110" s="31">
        <f>WACC!U37</f>
        <v>6.5</v>
      </c>
      <c r="V110" s="31">
        <f>WACC!V37</f>
        <v>7.5</v>
      </c>
      <c r="W110" s="31">
        <f>WACC!W37</f>
        <v>8.5</v>
      </c>
      <c r="X110" s="484">
        <f>WACC!X37</f>
        <v>9.5</v>
      </c>
      <c r="Y110" s="31">
        <f>WACC!Y37</f>
        <v>10.5</v>
      </c>
    </row>
    <row r="111" spans="1:35" outlineLevel="2">
      <c r="A111" s="4"/>
      <c r="B111" s="4"/>
      <c r="C111" s="4"/>
      <c r="D111" s="29" t="s">
        <v>3</v>
      </c>
      <c r="E111" s="8"/>
      <c r="F111" s="13"/>
      <c r="G111" s="8"/>
      <c r="H111" s="8"/>
      <c r="I111" s="13"/>
      <c r="J111" s="7"/>
      <c r="K111" s="13"/>
      <c r="L111" s="13"/>
      <c r="M111" s="13"/>
      <c r="N111" s="513"/>
      <c r="O111" s="30">
        <f>WACC!O32</f>
        <v>0.13554266666666667</v>
      </c>
      <c r="P111" s="30">
        <f>WACC!P32</f>
        <v>0.13554266666666667</v>
      </c>
      <c r="Q111" s="30">
        <f>WACC!Q32</f>
        <v>0.13554266666666667</v>
      </c>
      <c r="R111" s="30">
        <f>WACC!R32</f>
        <v>0.13554266666666667</v>
      </c>
      <c r="S111" s="30">
        <f>WACC!S32</f>
        <v>0.13554266666666667</v>
      </c>
      <c r="T111" s="30">
        <f>WACC!T32</f>
        <v>0.13554266666666667</v>
      </c>
      <c r="U111" s="30">
        <f>WACC!U32</f>
        <v>0.13554266666666667</v>
      </c>
      <c r="V111" s="30">
        <f>WACC!V32</f>
        <v>0.13554266666666667</v>
      </c>
      <c r="W111" s="30">
        <f>WACC!W32</f>
        <v>0.13554266666666667</v>
      </c>
      <c r="X111" s="485">
        <f>WACC!X32</f>
        <v>0.13554266666666667</v>
      </c>
      <c r="Y111" s="30">
        <f>WACC!Y32</f>
        <v>0.13554266666666667</v>
      </c>
    </row>
    <row r="112" spans="1:35" outlineLevel="2">
      <c r="A112" s="4"/>
      <c r="B112" s="4"/>
      <c r="C112" s="4"/>
      <c r="D112" s="29" t="s">
        <v>2</v>
      </c>
      <c r="E112" s="8"/>
      <c r="F112" s="13"/>
      <c r="G112" s="8"/>
      <c r="H112" s="8"/>
      <c r="I112" s="13"/>
      <c r="J112" s="7"/>
      <c r="K112" s="13"/>
      <c r="L112" s="13"/>
      <c r="M112" s="13"/>
      <c r="N112" s="514"/>
      <c r="O112" s="27">
        <f>O109/(1+O111)^O110</f>
        <v>3.4870500375189146</v>
      </c>
      <c r="P112" s="27">
        <f t="shared" ref="P112:Y112" si="40">P109/(1+P111)^P110</f>
        <v>-0.55634477189986675</v>
      </c>
      <c r="Q112" s="27">
        <f t="shared" si="40"/>
        <v>-0.46311454056524509</v>
      </c>
      <c r="R112" s="27">
        <f t="shared" si="40"/>
        <v>-0.25089254058059524</v>
      </c>
      <c r="S112" s="27">
        <f t="shared" si="40"/>
        <v>-0.25477110040242956</v>
      </c>
      <c r="T112" s="27">
        <f t="shared" si="40"/>
        <v>-3.0269832201084643</v>
      </c>
      <c r="U112" s="27">
        <f t="shared" si="40"/>
        <v>-2.2287561650236243</v>
      </c>
      <c r="V112" s="27">
        <f t="shared" si="40"/>
        <v>-1.4597277602238807</v>
      </c>
      <c r="W112" s="27">
        <f t="shared" si="40"/>
        <v>-0.93264657180449873</v>
      </c>
      <c r="X112" s="483">
        <f t="shared" si="40"/>
        <v>-0.31017469487615063</v>
      </c>
      <c r="Y112" s="27">
        <f t="shared" si="40"/>
        <v>5.9963613279657526</v>
      </c>
    </row>
    <row r="113" spans="1:35" outlineLevel="1">
      <c r="A113" s="4"/>
      <c r="B113" s="4"/>
      <c r="C113" s="4"/>
      <c r="D113" s="26" t="s">
        <v>189</v>
      </c>
      <c r="E113" s="25"/>
      <c r="F113" s="23"/>
      <c r="G113" s="25"/>
      <c r="H113" s="25"/>
      <c r="I113" s="23"/>
      <c r="J113" s="24"/>
      <c r="K113" s="23"/>
      <c r="L113" s="23"/>
      <c r="M113" s="23"/>
      <c r="N113" s="515">
        <f>SUM(O112:S112)</f>
        <v>1.9619270840707779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486"/>
      <c r="Y113" s="22"/>
    </row>
    <row r="114" spans="1:35" outlineLevel="1">
      <c r="A114" s="4"/>
      <c r="B114" s="4"/>
      <c r="C114" s="4"/>
      <c r="D114" s="29" t="s">
        <v>190</v>
      </c>
      <c r="E114" s="8"/>
      <c r="F114" s="13"/>
      <c r="G114" s="8"/>
      <c r="H114" s="8"/>
      <c r="I114" s="13"/>
      <c r="J114" s="7"/>
      <c r="K114" s="13"/>
      <c r="L114" s="13"/>
      <c r="M114" s="13"/>
      <c r="N114" s="515">
        <f>SUM(T112:Y112)</f>
        <v>-1.961927084070866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487"/>
      <c r="Y114" s="35"/>
    </row>
    <row r="115" spans="1:35" outlineLevel="1">
      <c r="A115" s="4"/>
      <c r="B115" s="4"/>
      <c r="C115" s="4"/>
      <c r="D115" s="29" t="s">
        <v>0</v>
      </c>
      <c r="E115" s="8"/>
      <c r="F115" s="13"/>
      <c r="G115" s="8"/>
      <c r="H115" s="8"/>
      <c r="I115" s="13"/>
      <c r="J115" s="7"/>
      <c r="K115" s="13"/>
      <c r="L115" s="13"/>
      <c r="M115" s="13"/>
      <c r="N115" s="516">
        <f>N113+N114</f>
        <v>-8.8151708155237429E-14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487"/>
      <c r="Y115" s="35"/>
    </row>
    <row r="116" spans="1:35" outlineLevel="1">
      <c r="A116" s="4"/>
      <c r="B116" s="4"/>
      <c r="C116" s="4"/>
      <c r="D116" s="76"/>
      <c r="E116" s="8"/>
      <c r="F116" s="13"/>
      <c r="G116" s="8"/>
      <c r="H116" s="8"/>
      <c r="I116" s="41"/>
      <c r="J116" s="7"/>
      <c r="K116" s="13"/>
      <c r="L116" s="13"/>
      <c r="M116" s="13"/>
      <c r="N116" s="480"/>
      <c r="O116" s="322"/>
      <c r="P116" s="322"/>
      <c r="Q116" s="322"/>
      <c r="R116" s="322"/>
      <c r="S116" s="322"/>
      <c r="T116" s="322"/>
      <c r="U116" s="322"/>
      <c r="V116" s="322"/>
      <c r="W116" s="322"/>
      <c r="X116" s="402"/>
      <c r="Y116" s="322"/>
    </row>
    <row r="117" spans="1:35" outlineLevel="1">
      <c r="A117" s="4"/>
      <c r="B117" s="4"/>
      <c r="C117" s="4"/>
      <c r="D117" s="76"/>
      <c r="E117" s="8"/>
      <c r="F117" s="13"/>
      <c r="G117" s="8"/>
      <c r="H117" s="8"/>
      <c r="I117" s="41"/>
      <c r="J117" s="7"/>
      <c r="K117" s="13"/>
      <c r="L117" s="13"/>
      <c r="M117" s="13"/>
      <c r="N117" s="480"/>
      <c r="O117" s="322"/>
      <c r="P117" s="322"/>
      <c r="Q117" s="322"/>
      <c r="R117" s="322"/>
      <c r="S117" s="322"/>
      <c r="T117" s="322"/>
      <c r="U117" s="322"/>
      <c r="V117" s="322"/>
      <c r="W117" s="322"/>
      <c r="X117" s="402"/>
      <c r="Y117" s="322"/>
    </row>
    <row r="118" spans="1:35" outlineLevel="1">
      <c r="A118" s="4"/>
      <c r="B118" s="4"/>
      <c r="C118" s="4"/>
      <c r="D118" s="76"/>
      <c r="E118" s="8"/>
      <c r="F118" s="13"/>
      <c r="G118" s="8"/>
      <c r="H118" s="8"/>
      <c r="I118" s="41"/>
      <c r="J118" s="7"/>
      <c r="K118" s="13"/>
      <c r="L118" s="13"/>
      <c r="M118" s="13"/>
      <c r="N118" s="480"/>
      <c r="O118" s="322"/>
      <c r="P118" s="322"/>
      <c r="Q118" s="322"/>
      <c r="R118" s="322"/>
      <c r="S118" s="322"/>
      <c r="T118" s="322"/>
      <c r="U118" s="322"/>
      <c r="V118" s="322"/>
      <c r="W118" s="322"/>
      <c r="X118" s="402"/>
      <c r="Y118" s="322"/>
    </row>
    <row r="119" spans="1:35" outlineLevel="1">
      <c r="A119" s="4"/>
      <c r="B119" s="4"/>
      <c r="C119" s="4"/>
      <c r="D119" s="76"/>
      <c r="E119" s="8"/>
      <c r="F119" s="13"/>
      <c r="G119" s="8"/>
      <c r="H119" s="8"/>
      <c r="I119" s="41"/>
      <c r="J119" s="7"/>
      <c r="K119" s="13"/>
      <c r="L119" s="13"/>
      <c r="M119" s="13"/>
      <c r="N119" s="480"/>
      <c r="O119" s="33"/>
      <c r="P119" s="33"/>
      <c r="Q119" s="33"/>
      <c r="R119" s="33"/>
      <c r="S119" s="33"/>
      <c r="T119" s="33"/>
      <c r="U119" s="33"/>
      <c r="V119" s="33"/>
      <c r="W119" s="33"/>
      <c r="X119" s="480"/>
      <c r="Y119" s="33"/>
    </row>
    <row r="120" spans="1:35" outlineLevel="1">
      <c r="A120" s="4"/>
      <c r="B120" s="4"/>
      <c r="C120" s="4"/>
      <c r="D120" s="425" t="s">
        <v>159</v>
      </c>
      <c r="E120" s="8"/>
      <c r="F120" s="13"/>
      <c r="G120" s="8"/>
      <c r="H120" s="8"/>
      <c r="I120" s="41"/>
      <c r="J120" s="7"/>
      <c r="K120" s="13"/>
      <c r="L120" s="13"/>
      <c r="M120" s="13"/>
      <c r="N120" s="480"/>
      <c r="O120" s="33">
        <v>10.15387834466601</v>
      </c>
      <c r="P120" s="337">
        <f>O120*(1+P121)</f>
        <v>10.367109789903996</v>
      </c>
      <c r="Q120" s="337">
        <f t="shared" ref="Q120:Y120" si="41">P120*(1+Q121)</f>
        <v>10.584819095491978</v>
      </c>
      <c r="R120" s="337">
        <f t="shared" si="41"/>
        <v>10.807100296497309</v>
      </c>
      <c r="S120" s="337">
        <f t="shared" si="41"/>
        <v>11.034049402723751</v>
      </c>
      <c r="T120" s="337">
        <f t="shared" si="41"/>
        <v>11.309900637791843</v>
      </c>
      <c r="U120" s="337">
        <f t="shared" si="41"/>
        <v>11.592648153736638</v>
      </c>
      <c r="V120" s="337">
        <f t="shared" si="41"/>
        <v>11.882464357580053</v>
      </c>
      <c r="W120" s="337">
        <f t="shared" si="41"/>
        <v>12.179525966519554</v>
      </c>
      <c r="X120" s="481">
        <f t="shared" si="41"/>
        <v>12.484014115682541</v>
      </c>
      <c r="Y120" s="337">
        <f t="shared" si="41"/>
        <v>12.796114468574604</v>
      </c>
    </row>
    <row r="121" spans="1:35" outlineLevel="1">
      <c r="A121" s="4"/>
      <c r="B121" s="4"/>
      <c r="C121" s="4"/>
      <c r="D121" s="76" t="s">
        <v>177</v>
      </c>
      <c r="E121" s="8"/>
      <c r="F121" s="13"/>
      <c r="G121" s="8"/>
      <c r="H121" s="8"/>
      <c r="I121" s="41"/>
      <c r="J121" s="7"/>
      <c r="K121" s="13"/>
      <c r="L121" s="13"/>
      <c r="M121" s="13"/>
      <c r="N121" s="480"/>
      <c r="O121" s="33"/>
      <c r="P121" s="30">
        <f>'Volume &amp; CPI forecast'!P13</f>
        <v>2.1000000000000001E-2</v>
      </c>
      <c r="Q121" s="30">
        <f>'Volume &amp; CPI forecast'!Q13</f>
        <v>2.1000000000000001E-2</v>
      </c>
      <c r="R121" s="30">
        <f>'Volume &amp; CPI forecast'!R13</f>
        <v>2.1000000000000001E-2</v>
      </c>
      <c r="S121" s="30">
        <f>'Volume &amp; CPI forecast'!S13</f>
        <v>2.1000000000000001E-2</v>
      </c>
      <c r="T121" s="30">
        <f>'Volume &amp; CPI forecast'!T13</f>
        <v>2.5000000000000001E-2</v>
      </c>
      <c r="U121" s="30">
        <f>'Volume &amp; CPI forecast'!U13</f>
        <v>2.5000000000000001E-2</v>
      </c>
      <c r="V121" s="30">
        <f>'Volume &amp; CPI forecast'!V13</f>
        <v>2.5000000000000001E-2</v>
      </c>
      <c r="W121" s="30">
        <f>'Volume &amp; CPI forecast'!W13</f>
        <v>2.5000000000000001E-2</v>
      </c>
      <c r="X121" s="485">
        <f>'Volume &amp; CPI forecast'!X13</f>
        <v>2.5000000000000001E-2</v>
      </c>
      <c r="Y121" s="30">
        <f>'Volume &amp; CPI forecast'!Y13</f>
        <v>2.5000000000000001E-2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  <c r="AI121" s="393"/>
    </row>
    <row r="122" spans="1:35" outlineLevel="1">
      <c r="A122" s="4"/>
      <c r="B122" s="4"/>
      <c r="C122" s="4"/>
      <c r="D122" s="69" t="s">
        <v>153</v>
      </c>
      <c r="E122" s="8"/>
      <c r="F122" s="13"/>
      <c r="G122" s="8"/>
      <c r="H122" s="8"/>
      <c r="I122" s="41"/>
      <c r="J122" s="7"/>
      <c r="K122" s="13"/>
      <c r="L122" s="13"/>
      <c r="M122" s="13"/>
      <c r="N122" s="480"/>
      <c r="O122" s="32">
        <f t="shared" ref="O122:Y122" si="42">O16</f>
        <v>0.23949986900000039</v>
      </c>
      <c r="P122" s="32">
        <f t="shared" si="42"/>
        <v>0.43600226900000061</v>
      </c>
      <c r="Q122" s="32">
        <f t="shared" si="42"/>
        <v>0.43652583400000061</v>
      </c>
      <c r="R122" s="32">
        <f t="shared" si="42"/>
        <v>0.43938862400000067</v>
      </c>
      <c r="S122" s="32">
        <f t="shared" si="42"/>
        <v>0.44331222400000064</v>
      </c>
      <c r="T122" s="32">
        <f t="shared" si="42"/>
        <v>0.44637398400000056</v>
      </c>
      <c r="U122" s="32">
        <f t="shared" si="42"/>
        <v>0.45064767400000061</v>
      </c>
      <c r="V122" s="32">
        <f t="shared" si="42"/>
        <v>0.45544868400000066</v>
      </c>
      <c r="W122" s="32">
        <f t="shared" si="42"/>
        <v>0.45789926400000058</v>
      </c>
      <c r="X122" s="482">
        <f t="shared" si="42"/>
        <v>0.4677234037813095</v>
      </c>
      <c r="Y122" s="32">
        <f t="shared" si="42"/>
        <v>2.7563674076523035</v>
      </c>
    </row>
    <row r="123" spans="1:35" outlineLevel="1">
      <c r="A123" s="4"/>
      <c r="B123" s="4"/>
      <c r="C123" s="4"/>
      <c r="D123" s="76" t="s">
        <v>199</v>
      </c>
      <c r="E123" s="8"/>
      <c r="F123" s="13"/>
      <c r="G123" s="8"/>
      <c r="H123" s="8"/>
      <c r="I123" s="41"/>
      <c r="J123" s="7"/>
      <c r="K123" s="13"/>
      <c r="L123" s="13"/>
      <c r="M123" s="13"/>
      <c r="N123" s="480"/>
      <c r="O123" s="32">
        <f t="shared" ref="O123:Y123" si="43">O120*O122</f>
        <v>2.4318525333894501</v>
      </c>
      <c r="P123" s="32">
        <f t="shared" si="43"/>
        <v>4.520083391370262</v>
      </c>
      <c r="Q123" s="32">
        <f t="shared" si="43"/>
        <v>4.6205469833987678</v>
      </c>
      <c r="R123" s="32">
        <f t="shared" si="43"/>
        <v>4.7485169287079518</v>
      </c>
      <c r="S123" s="32">
        <f t="shared" si="43"/>
        <v>4.8915289804473447</v>
      </c>
      <c r="T123" s="32">
        <f t="shared" si="43"/>
        <v>5.0484454063352926</v>
      </c>
      <c r="U123" s="32">
        <f t="shared" si="43"/>
        <v>5.224199925981817</v>
      </c>
      <c r="V123" s="32">
        <f t="shared" si="43"/>
        <v>5.4118527543367483</v>
      </c>
      <c r="W123" s="32">
        <f t="shared" si="43"/>
        <v>5.5769959759381997</v>
      </c>
      <c r="X123" s="482">
        <f t="shared" si="43"/>
        <v>5.8390655750409524</v>
      </c>
      <c r="Y123" s="32">
        <f t="shared" si="43"/>
        <v>35.270792865767113</v>
      </c>
    </row>
    <row r="124" spans="1:35" outlineLevel="1">
      <c r="A124" s="4"/>
      <c r="B124" s="4"/>
      <c r="C124" s="4"/>
      <c r="D124" s="76" t="s">
        <v>193</v>
      </c>
      <c r="E124" s="8"/>
      <c r="F124" s="13"/>
      <c r="G124" s="8"/>
      <c r="H124" s="8"/>
      <c r="I124" s="41"/>
      <c r="J124" s="7"/>
      <c r="K124" s="13"/>
      <c r="L124" s="13"/>
      <c r="M124" s="13"/>
      <c r="N124" s="480"/>
      <c r="O124" s="32">
        <f t="shared" ref="O124:Y124" si="44">O66</f>
        <v>1.741861346348001</v>
      </c>
      <c r="P124" s="32">
        <f t="shared" si="44"/>
        <v>4.4549412500532606</v>
      </c>
      <c r="Q124" s="32">
        <f t="shared" si="44"/>
        <v>4.6189476667235878</v>
      </c>
      <c r="R124" s="32">
        <f t="shared" si="44"/>
        <v>4.7666954142593267</v>
      </c>
      <c r="S124" s="32">
        <f t="shared" si="44"/>
        <v>4.9256748497953282</v>
      </c>
      <c r="T124" s="32">
        <f t="shared" si="44"/>
        <v>6.1585175373979864</v>
      </c>
      <c r="U124" s="32">
        <f t="shared" si="44"/>
        <v>6.15041582604991</v>
      </c>
      <c r="V124" s="32">
        <f t="shared" si="44"/>
        <v>6.1387700654272486</v>
      </c>
      <c r="W124" s="32">
        <f t="shared" si="44"/>
        <v>6.1365984532157096</v>
      </c>
      <c r="X124" s="482">
        <f t="shared" si="44"/>
        <v>6.1199583874225789</v>
      </c>
      <c r="Y124" s="32">
        <f t="shared" si="44"/>
        <v>32.081091470198636</v>
      </c>
    </row>
    <row r="125" spans="1:35" outlineLevel="1">
      <c r="A125" s="4"/>
      <c r="B125" s="4"/>
      <c r="C125" s="4"/>
      <c r="D125" s="29" t="s">
        <v>143</v>
      </c>
      <c r="E125" s="8"/>
      <c r="F125" s="13"/>
      <c r="G125" s="8"/>
      <c r="H125" s="8"/>
      <c r="I125" s="41"/>
      <c r="J125" s="7"/>
      <c r="K125" s="13"/>
      <c r="L125" s="13"/>
      <c r="M125" s="13"/>
      <c r="N125" s="480"/>
      <c r="O125" s="27">
        <f t="shared" ref="O125:Y125" si="45">O123-O124</f>
        <v>0.68999118704144902</v>
      </c>
      <c r="P125" s="27">
        <f t="shared" si="45"/>
        <v>6.5142141317001467E-2</v>
      </c>
      <c r="Q125" s="27">
        <f t="shared" si="45"/>
        <v>1.5993166751799848E-3</v>
      </c>
      <c r="R125" s="27">
        <f t="shared" si="45"/>
        <v>-1.8178485551374912E-2</v>
      </c>
      <c r="S125" s="27">
        <f t="shared" si="45"/>
        <v>-3.4145869347983471E-2</v>
      </c>
      <c r="T125" s="27">
        <f t="shared" si="45"/>
        <v>-1.1100721310626938</v>
      </c>
      <c r="U125" s="27">
        <f t="shared" si="45"/>
        <v>-0.92621590006809296</v>
      </c>
      <c r="V125" s="27">
        <f t="shared" si="45"/>
        <v>-0.72691731109050028</v>
      </c>
      <c r="W125" s="27">
        <f t="shared" si="45"/>
        <v>-0.55960247727750989</v>
      </c>
      <c r="X125" s="483">
        <f t="shared" si="45"/>
        <v>-0.28089281238162656</v>
      </c>
      <c r="Y125" s="27">
        <f t="shared" si="45"/>
        <v>3.189701395568477</v>
      </c>
    </row>
    <row r="126" spans="1:35" hidden="1" outlineLevel="2">
      <c r="A126" s="4"/>
      <c r="B126" s="4"/>
      <c r="C126" s="4"/>
      <c r="D126" s="29" t="s">
        <v>4</v>
      </c>
      <c r="E126" s="8"/>
      <c r="F126" s="13"/>
      <c r="G126" s="8"/>
      <c r="H126" s="8"/>
      <c r="I126" s="13"/>
      <c r="J126" s="7"/>
      <c r="K126" s="13"/>
      <c r="L126" s="13"/>
      <c r="M126" s="13"/>
      <c r="N126" s="484"/>
      <c r="O126" s="31">
        <f>WACC!O37</f>
        <v>0.5</v>
      </c>
      <c r="P126" s="31">
        <f>WACC!P37</f>
        <v>1.5</v>
      </c>
      <c r="Q126" s="31">
        <f>WACC!Q37</f>
        <v>2.5</v>
      </c>
      <c r="R126" s="31">
        <f>WACC!R37</f>
        <v>3.5</v>
      </c>
      <c r="S126" s="31">
        <f>WACC!S37</f>
        <v>4.5</v>
      </c>
      <c r="T126" s="31">
        <f>WACC!T37</f>
        <v>5.5</v>
      </c>
      <c r="U126" s="31">
        <f>WACC!U37</f>
        <v>6.5</v>
      </c>
      <c r="V126" s="31">
        <f>WACC!V37</f>
        <v>7.5</v>
      </c>
      <c r="W126" s="31">
        <f>WACC!W37</f>
        <v>8.5</v>
      </c>
      <c r="X126" s="484">
        <f>WACC!X37</f>
        <v>9.5</v>
      </c>
      <c r="Y126" s="31">
        <f>WACC!Y37</f>
        <v>10.5</v>
      </c>
    </row>
    <row r="127" spans="1:35" hidden="1" outlineLevel="2">
      <c r="A127" s="4"/>
      <c r="B127" s="4"/>
      <c r="C127" s="4"/>
      <c r="D127" s="29" t="s">
        <v>3</v>
      </c>
      <c r="E127" s="8"/>
      <c r="F127" s="13"/>
      <c r="G127" s="8"/>
      <c r="H127" s="8"/>
      <c r="I127" s="13"/>
      <c r="J127" s="7"/>
      <c r="K127" s="13"/>
      <c r="L127" s="13"/>
      <c r="M127" s="13"/>
      <c r="N127" s="513"/>
      <c r="O127" s="30">
        <f>WACC!O32</f>
        <v>0.13554266666666667</v>
      </c>
      <c r="P127" s="30">
        <f>WACC!P32</f>
        <v>0.13554266666666667</v>
      </c>
      <c r="Q127" s="30">
        <f>WACC!Q32</f>
        <v>0.13554266666666667</v>
      </c>
      <c r="R127" s="30">
        <f>WACC!R32</f>
        <v>0.13554266666666667</v>
      </c>
      <c r="S127" s="30">
        <f>WACC!S32</f>
        <v>0.13554266666666667</v>
      </c>
      <c r="T127" s="30">
        <f>WACC!T32</f>
        <v>0.13554266666666667</v>
      </c>
      <c r="U127" s="30">
        <f>WACC!U32</f>
        <v>0.13554266666666667</v>
      </c>
      <c r="V127" s="30">
        <f>WACC!V32</f>
        <v>0.13554266666666667</v>
      </c>
      <c r="W127" s="30">
        <f>WACC!W32</f>
        <v>0.13554266666666667</v>
      </c>
      <c r="X127" s="485">
        <f>WACC!X32</f>
        <v>0.13554266666666667</v>
      </c>
      <c r="Y127" s="30">
        <f>WACC!Y32</f>
        <v>0.13554266666666667</v>
      </c>
    </row>
    <row r="128" spans="1:35" hidden="1" outlineLevel="2">
      <c r="A128" s="4"/>
      <c r="B128" s="4"/>
      <c r="C128" s="4"/>
      <c r="D128" s="29" t="s">
        <v>2</v>
      </c>
      <c r="E128" s="8"/>
      <c r="F128" s="13"/>
      <c r="G128" s="8"/>
      <c r="H128" s="8"/>
      <c r="I128" s="13"/>
      <c r="J128" s="7"/>
      <c r="K128" s="13"/>
      <c r="L128" s="13"/>
      <c r="M128" s="13"/>
      <c r="N128" s="514"/>
      <c r="O128" s="27">
        <f t="shared" ref="O128:Y128" si="46">O125/(1+O127)^O126</f>
        <v>0.64750304519425828</v>
      </c>
      <c r="P128" s="27">
        <f t="shared" si="46"/>
        <v>5.3834024139331062E-2</v>
      </c>
      <c r="Q128" s="27">
        <f t="shared" si="46"/>
        <v>1.1639272150239207E-3</v>
      </c>
      <c r="R128" s="27">
        <f t="shared" si="46"/>
        <v>-1.165052778582616E-2</v>
      </c>
      <c r="S128" s="27">
        <f t="shared" si="46"/>
        <v>-1.9271814997147085E-2</v>
      </c>
      <c r="T128" s="27">
        <f t="shared" si="46"/>
        <v>-0.55173709805643634</v>
      </c>
      <c r="U128" s="27">
        <f t="shared" si="46"/>
        <v>-0.40540561719828794</v>
      </c>
      <c r="V128" s="27">
        <f t="shared" si="46"/>
        <v>-0.28019416325616014</v>
      </c>
      <c r="W128" s="27">
        <f t="shared" si="46"/>
        <v>-0.18995478771742241</v>
      </c>
      <c r="X128" s="483">
        <f t="shared" si="46"/>
        <v>-8.3966835355884908E-2</v>
      </c>
      <c r="Y128" s="27">
        <f t="shared" si="46"/>
        <v>0.83967984781854976</v>
      </c>
    </row>
    <row r="129" spans="1:35" outlineLevel="1" collapsed="1">
      <c r="A129" s="4"/>
      <c r="B129" s="4"/>
      <c r="C129" s="4"/>
      <c r="D129" s="26" t="s">
        <v>189</v>
      </c>
      <c r="E129" s="25"/>
      <c r="F129" s="23"/>
      <c r="G129" s="25"/>
      <c r="H129" s="25"/>
      <c r="I129" s="23"/>
      <c r="J129" s="24"/>
      <c r="K129" s="23"/>
      <c r="L129" s="23"/>
      <c r="M129" s="23"/>
      <c r="N129" s="515">
        <f>SUM(O128:S128)</f>
        <v>0.67157865376563985</v>
      </c>
    </row>
    <row r="130" spans="1:35" outlineLevel="1">
      <c r="A130" s="4"/>
      <c r="B130" s="4"/>
      <c r="C130" s="4"/>
      <c r="D130" s="29" t="s">
        <v>190</v>
      </c>
      <c r="E130" s="8"/>
      <c r="F130" s="13"/>
      <c r="G130" s="8"/>
      <c r="H130" s="8"/>
      <c r="I130" s="13"/>
      <c r="J130" s="7"/>
      <c r="K130" s="13"/>
      <c r="L130" s="13"/>
      <c r="M130" s="13"/>
      <c r="N130" s="515">
        <f>SUM(T128:Y128)</f>
        <v>-0.67157865376564196</v>
      </c>
      <c r="O130" s="35"/>
      <c r="P130" s="35"/>
      <c r="Q130" s="35"/>
      <c r="R130" s="35"/>
      <c r="S130" s="35"/>
      <c r="T130" s="35"/>
      <c r="U130" s="35"/>
      <c r="V130" s="35"/>
      <c r="W130" s="35"/>
      <c r="X130" s="487"/>
      <c r="Y130" s="35"/>
    </row>
    <row r="131" spans="1:35" outlineLevel="1">
      <c r="A131" s="4"/>
      <c r="B131" s="4"/>
      <c r="C131" s="4"/>
      <c r="D131" s="29" t="s">
        <v>0</v>
      </c>
      <c r="E131" s="8"/>
      <c r="F131" s="13"/>
      <c r="G131" s="8"/>
      <c r="H131" s="8"/>
      <c r="I131" s="13"/>
      <c r="J131" s="7"/>
      <c r="K131" s="13"/>
      <c r="L131" s="13"/>
      <c r="M131" s="13"/>
      <c r="N131" s="516">
        <f>N129+N130</f>
        <v>-2.1094237467877974E-15</v>
      </c>
      <c r="O131" s="35"/>
      <c r="P131" s="35"/>
      <c r="Q131" s="35"/>
      <c r="R131" s="35"/>
      <c r="S131" s="35"/>
      <c r="T131" s="35"/>
      <c r="U131" s="35"/>
      <c r="V131" s="35"/>
      <c r="W131" s="35"/>
      <c r="X131" s="487"/>
      <c r="Y131" s="35"/>
    </row>
    <row r="132" spans="1:35" outlineLevel="1">
      <c r="A132" s="4"/>
      <c r="B132" s="4"/>
      <c r="C132" s="4"/>
      <c r="D132" s="76"/>
      <c r="E132" s="8"/>
      <c r="F132" s="13"/>
      <c r="G132" s="8"/>
      <c r="H132" s="8"/>
      <c r="I132" s="41"/>
      <c r="J132" s="7"/>
      <c r="K132" s="13"/>
      <c r="L132" s="13"/>
      <c r="M132" s="13"/>
      <c r="N132" s="480"/>
      <c r="O132" s="597"/>
      <c r="P132" s="597"/>
      <c r="Q132" s="597"/>
      <c r="R132" s="597"/>
      <c r="S132" s="597"/>
      <c r="T132" s="597"/>
      <c r="U132" s="597"/>
      <c r="V132" s="597"/>
      <c r="W132" s="597"/>
      <c r="X132" s="597"/>
      <c r="Y132" s="597"/>
    </row>
    <row r="133" spans="1:35" outlineLevel="1">
      <c r="A133" s="4"/>
      <c r="B133" s="4"/>
      <c r="C133" s="4"/>
      <c r="D133" s="9"/>
      <c r="E133" s="8"/>
      <c r="F133" s="7"/>
      <c r="G133" s="9"/>
      <c r="H133" s="8"/>
      <c r="I133" s="7"/>
      <c r="J133" s="7"/>
      <c r="K133" s="7"/>
      <c r="L133" s="7"/>
      <c r="M133" s="7"/>
      <c r="N133" s="517"/>
      <c r="O133" s="439"/>
      <c r="P133" s="439"/>
      <c r="Q133" s="439"/>
      <c r="R133" s="439"/>
      <c r="S133" s="439"/>
      <c r="T133" s="439"/>
      <c r="U133" s="439"/>
      <c r="V133" s="439"/>
      <c r="W133" s="439"/>
      <c r="X133" s="488"/>
      <c r="Y133" s="439"/>
    </row>
    <row r="134" spans="1:35" outlineLevel="1">
      <c r="A134" s="4"/>
      <c r="B134" s="4"/>
      <c r="C134" s="4"/>
      <c r="D134" s="34" t="s">
        <v>9</v>
      </c>
      <c r="E134" s="8"/>
      <c r="F134" s="13"/>
      <c r="G134" s="8"/>
      <c r="H134" s="8"/>
      <c r="I134" s="13"/>
      <c r="J134" s="7"/>
      <c r="K134" s="13"/>
      <c r="L134" s="13"/>
      <c r="M134" s="13" t="s">
        <v>6</v>
      </c>
      <c r="N134" s="480"/>
      <c r="O134" s="33">
        <v>5.3032351844856249</v>
      </c>
      <c r="P134" s="337">
        <f>O134*(1+P135)</f>
        <v>5.4146031233598224</v>
      </c>
      <c r="Q134" s="337">
        <f t="shared" ref="Q134:Y134" si="47">P134*(1+Q135)</f>
        <v>5.5283097889503781</v>
      </c>
      <c r="R134" s="337">
        <f t="shared" si="47"/>
        <v>5.6444042945183357</v>
      </c>
      <c r="S134" s="337">
        <f t="shared" si="47"/>
        <v>5.7629367847032205</v>
      </c>
      <c r="T134" s="337">
        <f t="shared" si="47"/>
        <v>5.9070102043208008</v>
      </c>
      <c r="U134" s="337">
        <f t="shared" si="47"/>
        <v>6.0546854594288204</v>
      </c>
      <c r="V134" s="337">
        <f t="shared" si="47"/>
        <v>6.2060525959145405</v>
      </c>
      <c r="W134" s="337">
        <f t="shared" si="47"/>
        <v>6.3612039108124039</v>
      </c>
      <c r="X134" s="481">
        <f t="shared" si="47"/>
        <v>6.5202340085827135</v>
      </c>
      <c r="Y134" s="337">
        <f t="shared" si="47"/>
        <v>6.6832398587972808</v>
      </c>
      <c r="Z134" s="40"/>
    </row>
    <row r="135" spans="1:35" outlineLevel="1">
      <c r="A135" s="4"/>
      <c r="B135" s="4"/>
      <c r="C135" s="4"/>
      <c r="D135" s="76" t="s">
        <v>177</v>
      </c>
      <c r="E135" s="8"/>
      <c r="F135" s="13"/>
      <c r="G135" s="8"/>
      <c r="H135" s="8"/>
      <c r="I135" s="41"/>
      <c r="J135" s="7"/>
      <c r="K135" s="13"/>
      <c r="L135" s="13"/>
      <c r="M135" s="13"/>
      <c r="N135" s="480"/>
      <c r="O135" s="33"/>
      <c r="P135" s="30">
        <f>'Volume &amp; CPI forecast'!P13</f>
        <v>2.1000000000000001E-2</v>
      </c>
      <c r="Q135" s="30">
        <f>'Volume &amp; CPI forecast'!Q13</f>
        <v>2.1000000000000001E-2</v>
      </c>
      <c r="R135" s="30">
        <f>'Volume &amp; CPI forecast'!R13</f>
        <v>2.1000000000000001E-2</v>
      </c>
      <c r="S135" s="30">
        <f>'Volume &amp; CPI forecast'!S13</f>
        <v>2.1000000000000001E-2</v>
      </c>
      <c r="T135" s="30">
        <f>'Volume &amp; CPI forecast'!T13</f>
        <v>2.5000000000000001E-2</v>
      </c>
      <c r="U135" s="30">
        <f>'Volume &amp; CPI forecast'!U13</f>
        <v>2.5000000000000001E-2</v>
      </c>
      <c r="V135" s="30">
        <f>'Volume &amp; CPI forecast'!V13</f>
        <v>2.5000000000000001E-2</v>
      </c>
      <c r="W135" s="30">
        <f>'Volume &amp; CPI forecast'!W13</f>
        <v>2.5000000000000001E-2</v>
      </c>
      <c r="X135" s="485">
        <f>'Volume &amp; CPI forecast'!X13</f>
        <v>2.5000000000000001E-2</v>
      </c>
      <c r="Y135" s="30">
        <f>'Volume &amp; CPI forecast'!Y13</f>
        <v>2.5000000000000001E-2</v>
      </c>
      <c r="Z135" s="393"/>
      <c r="AA135" s="393"/>
      <c r="AB135" s="393"/>
      <c r="AC135" s="393"/>
      <c r="AD135" s="393"/>
      <c r="AE135" s="393"/>
      <c r="AF135" s="393"/>
      <c r="AG135" s="393"/>
      <c r="AH135" s="393"/>
      <c r="AI135" s="393"/>
    </row>
    <row r="136" spans="1:35" outlineLevel="1">
      <c r="A136" s="4"/>
      <c r="B136" s="4"/>
      <c r="C136" s="4"/>
      <c r="D136" s="29" t="str">
        <f>D29</f>
        <v>Total Departing Seats International</v>
      </c>
      <c r="E136" s="8"/>
      <c r="F136" s="13"/>
      <c r="G136" s="8"/>
      <c r="H136" s="8"/>
      <c r="I136" s="13"/>
      <c r="J136" s="7"/>
      <c r="K136" s="13"/>
      <c r="L136" s="13"/>
      <c r="M136" s="13"/>
      <c r="N136" s="489"/>
      <c r="O136" s="403">
        <f t="shared" ref="O136:Y136" si="48">O29</f>
        <v>0.51872391666666662</v>
      </c>
      <c r="P136" s="403">
        <f t="shared" si="48"/>
        <v>0.88924099999999995</v>
      </c>
      <c r="Q136" s="403">
        <f t="shared" si="48"/>
        <v>0.95933800000000002</v>
      </c>
      <c r="R136" s="403">
        <f t="shared" si="48"/>
        <v>1.013101</v>
      </c>
      <c r="S136" s="403">
        <f t="shared" si="48"/>
        <v>1.0666100000000001</v>
      </c>
      <c r="T136" s="403">
        <f t="shared" si="48"/>
        <v>1.111486</v>
      </c>
      <c r="U136" s="403">
        <f t="shared" si="48"/>
        <v>1.160029</v>
      </c>
      <c r="V136" s="403">
        <f t="shared" si="48"/>
        <v>1.2234160000000001</v>
      </c>
      <c r="W136" s="403">
        <f t="shared" si="48"/>
        <v>1.279512</v>
      </c>
      <c r="X136" s="489">
        <f t="shared" si="48"/>
        <v>1.326522065</v>
      </c>
      <c r="Y136" s="403">
        <f t="shared" si="48"/>
        <v>8.0651771165274457</v>
      </c>
      <c r="Z136" s="40"/>
    </row>
    <row r="137" spans="1:35" outlineLevel="1">
      <c r="A137" s="4"/>
      <c r="B137" s="4"/>
      <c r="C137" s="4"/>
      <c r="D137" s="29" t="str">
        <f>D80</f>
        <v>Revenue from PSC</v>
      </c>
      <c r="E137" s="8"/>
      <c r="F137" s="13"/>
      <c r="G137" s="8"/>
      <c r="H137" s="8"/>
      <c r="I137" s="13"/>
      <c r="J137" s="7"/>
      <c r="K137" s="13"/>
      <c r="L137" s="13"/>
      <c r="M137" s="13"/>
      <c r="N137" s="402"/>
      <c r="O137" s="402">
        <f t="shared" ref="O137:Y137" si="49">O80</f>
        <v>8.1628465137826147</v>
      </c>
      <c r="P137" s="402">
        <f t="shared" si="49"/>
        <v>15.942302559328708</v>
      </c>
      <c r="Q137" s="402">
        <f t="shared" si="49"/>
        <v>17.536532813404058</v>
      </c>
      <c r="R137" s="402">
        <f t="shared" si="49"/>
        <v>18.062628793395046</v>
      </c>
      <c r="S137" s="402">
        <f t="shared" si="49"/>
        <v>18.604507668395772</v>
      </c>
      <c r="T137" s="402">
        <f t="shared" si="49"/>
        <v>19.162642895032128</v>
      </c>
      <c r="U137" s="402">
        <f t="shared" si="49"/>
        <v>19.737522168171871</v>
      </c>
      <c r="V137" s="402">
        <f t="shared" si="49"/>
        <v>20.3296478337769</v>
      </c>
      <c r="W137" s="402">
        <f t="shared" si="49"/>
        <v>20.939537277530327</v>
      </c>
      <c r="X137" s="402">
        <f t="shared" si="49"/>
        <v>22.240870001941072</v>
      </c>
      <c r="Y137" s="402">
        <f t="shared" si="49"/>
        <v>135.22319795812587</v>
      </c>
      <c r="Z137" s="40"/>
    </row>
    <row r="138" spans="1:35" outlineLevel="1">
      <c r="A138" s="4"/>
      <c r="B138" s="4"/>
      <c r="C138" s="4"/>
      <c r="D138" s="29" t="s">
        <v>5</v>
      </c>
      <c r="E138" s="8"/>
      <c r="F138" s="13"/>
      <c r="G138" s="8"/>
      <c r="H138" s="8"/>
      <c r="I138" s="13"/>
      <c r="J138" s="7"/>
      <c r="K138" s="13"/>
      <c r="L138" s="13"/>
      <c r="M138" s="13"/>
      <c r="N138" s="308"/>
      <c r="O138" s="308">
        <f t="shared" ref="O138:Y138" si="50">O134*O136+O137</f>
        <v>10.913761439683471</v>
      </c>
      <c r="P138" s="308">
        <f t="shared" si="50"/>
        <v>20.75718965534832</v>
      </c>
      <c r="Q138" s="308">
        <f t="shared" si="50"/>
        <v>22.840050469716136</v>
      </c>
      <c r="R138" s="308">
        <f t="shared" si="50"/>
        <v>23.780980428575866</v>
      </c>
      <c r="S138" s="308">
        <f t="shared" si="50"/>
        <v>24.751313672328074</v>
      </c>
      <c r="T138" s="308">
        <f t="shared" si="50"/>
        <v>25.728202038991839</v>
      </c>
      <c r="U138" s="308">
        <f t="shared" si="50"/>
        <v>26.761132886987625</v>
      </c>
      <c r="V138" s="308">
        <f t="shared" si="50"/>
        <v>27.922231876460284</v>
      </c>
      <c r="W138" s="308">
        <f t="shared" si="50"/>
        <v>29.078774015861725</v>
      </c>
      <c r="X138" s="308">
        <f t="shared" si="50"/>
        <v>30.890104283289439</v>
      </c>
      <c r="Y138" s="308">
        <f t="shared" si="50"/>
        <v>189.12471113156181</v>
      </c>
      <c r="Z138" s="39"/>
    </row>
    <row r="139" spans="1:35" outlineLevel="1">
      <c r="A139" s="4"/>
      <c r="B139" s="4"/>
      <c r="C139" s="4"/>
      <c r="D139" s="29" t="s">
        <v>141</v>
      </c>
      <c r="E139" s="8"/>
      <c r="F139" s="13"/>
      <c r="G139" s="8"/>
      <c r="H139" s="8"/>
      <c r="I139" s="13"/>
      <c r="J139" s="7"/>
      <c r="K139" s="13"/>
      <c r="L139" s="13"/>
      <c r="M139" s="13"/>
      <c r="N139" s="308"/>
      <c r="O139" s="38">
        <f t="shared" ref="O139:Y139" si="51">O42</f>
        <v>14.788534723432614</v>
      </c>
      <c r="P139" s="38">
        <f t="shared" si="51"/>
        <v>26.290605861227448</v>
      </c>
      <c r="Q139" s="38">
        <f t="shared" si="51"/>
        <v>26.549206789129126</v>
      </c>
      <c r="R139" s="38">
        <f t="shared" si="51"/>
        <v>27.162684423703215</v>
      </c>
      <c r="S139" s="38">
        <f t="shared" si="51"/>
        <v>27.361889675091501</v>
      </c>
      <c r="T139" s="38">
        <f t="shared" si="51"/>
        <v>26.881664081607699</v>
      </c>
      <c r="U139" s="38">
        <f t="shared" si="51"/>
        <v>26.83317000619471</v>
      </c>
      <c r="V139" s="38">
        <f t="shared" si="51"/>
        <v>26.799312941980304</v>
      </c>
      <c r="W139" s="38">
        <f t="shared" si="51"/>
        <v>26.783400462569443</v>
      </c>
      <c r="X139" s="308">
        <f t="shared" si="51"/>
        <v>26.809531406743595</v>
      </c>
      <c r="Y139" s="38">
        <f t="shared" si="51"/>
        <v>140.61924811835584</v>
      </c>
    </row>
    <row r="140" spans="1:35" outlineLevel="1">
      <c r="A140" s="4"/>
      <c r="B140" s="4"/>
      <c r="C140" s="4"/>
      <c r="D140" s="29" t="s">
        <v>143</v>
      </c>
      <c r="E140" s="8"/>
      <c r="F140" s="13"/>
      <c r="G140" s="8"/>
      <c r="H140" s="8"/>
      <c r="I140" s="13"/>
      <c r="J140" s="7"/>
      <c r="K140" s="13"/>
      <c r="L140" s="13"/>
      <c r="M140" s="13"/>
      <c r="N140" s="483"/>
      <c r="O140" s="27">
        <f t="shared" ref="O140:Y140" si="52">O138-O139</f>
        <v>-3.8747732837491426</v>
      </c>
      <c r="P140" s="27">
        <f t="shared" si="52"/>
        <v>-5.5334162058791279</v>
      </c>
      <c r="Q140" s="27">
        <f t="shared" si="52"/>
        <v>-3.7091563194129904</v>
      </c>
      <c r="R140" s="27">
        <f t="shared" si="52"/>
        <v>-3.3817039951273493</v>
      </c>
      <c r="S140" s="27">
        <f t="shared" si="52"/>
        <v>-2.6105760027634268</v>
      </c>
      <c r="T140" s="27">
        <f t="shared" si="52"/>
        <v>-1.1534620426158604</v>
      </c>
      <c r="U140" s="27">
        <f t="shared" si="52"/>
        <v>-7.2037119207084999E-2</v>
      </c>
      <c r="V140" s="27">
        <f t="shared" si="52"/>
        <v>1.1229189344799799</v>
      </c>
      <c r="W140" s="27">
        <f t="shared" si="52"/>
        <v>2.2953735532922828</v>
      </c>
      <c r="X140" s="483">
        <f t="shared" si="52"/>
        <v>4.080572876545844</v>
      </c>
      <c r="Y140" s="27">
        <f t="shared" si="52"/>
        <v>48.505463013205969</v>
      </c>
    </row>
    <row r="141" spans="1:35" hidden="1" outlineLevel="2">
      <c r="A141" s="4"/>
      <c r="B141" s="4"/>
      <c r="C141" s="4"/>
      <c r="D141" s="29" t="s">
        <v>4</v>
      </c>
      <c r="E141" s="8"/>
      <c r="F141" s="13"/>
      <c r="G141" s="8"/>
      <c r="H141" s="8"/>
      <c r="I141" s="13"/>
      <c r="J141" s="7"/>
      <c r="K141" s="13"/>
      <c r="L141" s="13"/>
      <c r="M141" s="13"/>
      <c r="N141" s="484"/>
      <c r="O141" s="31">
        <f>WACC!O37</f>
        <v>0.5</v>
      </c>
      <c r="P141" s="31">
        <f>WACC!P37</f>
        <v>1.5</v>
      </c>
      <c r="Q141" s="31">
        <f>WACC!Q37</f>
        <v>2.5</v>
      </c>
      <c r="R141" s="31">
        <f>WACC!R37</f>
        <v>3.5</v>
      </c>
      <c r="S141" s="31">
        <f>WACC!S37</f>
        <v>4.5</v>
      </c>
      <c r="T141" s="31">
        <f>WACC!T37</f>
        <v>5.5</v>
      </c>
      <c r="U141" s="31">
        <f>WACC!U37</f>
        <v>6.5</v>
      </c>
      <c r="V141" s="31">
        <f>WACC!V37</f>
        <v>7.5</v>
      </c>
      <c r="W141" s="31">
        <f>WACC!W37</f>
        <v>8.5</v>
      </c>
      <c r="X141" s="484">
        <f>WACC!X37</f>
        <v>9.5</v>
      </c>
      <c r="Y141" s="31">
        <f>WACC!Y37</f>
        <v>10.5</v>
      </c>
    </row>
    <row r="142" spans="1:35" hidden="1" outlineLevel="2">
      <c r="A142" s="4"/>
      <c r="B142" s="4"/>
      <c r="C142" s="4"/>
      <c r="D142" s="29" t="s">
        <v>3</v>
      </c>
      <c r="E142" s="8"/>
      <c r="F142" s="13"/>
      <c r="G142" s="8"/>
      <c r="H142" s="8"/>
      <c r="I142" s="13"/>
      <c r="J142" s="7"/>
      <c r="K142" s="13"/>
      <c r="L142" s="13"/>
      <c r="M142" s="13"/>
      <c r="N142" s="513"/>
      <c r="O142" s="30">
        <f>WACC!O32</f>
        <v>0.13554266666666667</v>
      </c>
      <c r="P142" s="30">
        <f>WACC!P32</f>
        <v>0.13554266666666667</v>
      </c>
      <c r="Q142" s="30">
        <f>WACC!Q32</f>
        <v>0.13554266666666667</v>
      </c>
      <c r="R142" s="30">
        <f>WACC!R32</f>
        <v>0.13554266666666667</v>
      </c>
      <c r="S142" s="30">
        <f>WACC!S32</f>
        <v>0.13554266666666667</v>
      </c>
      <c r="T142" s="30">
        <f>WACC!T32</f>
        <v>0.13554266666666667</v>
      </c>
      <c r="U142" s="30">
        <f>WACC!U32</f>
        <v>0.13554266666666667</v>
      </c>
      <c r="V142" s="30">
        <f>WACC!V32</f>
        <v>0.13554266666666667</v>
      </c>
      <c r="W142" s="30">
        <f>WACC!W32</f>
        <v>0.13554266666666667</v>
      </c>
      <c r="X142" s="485">
        <f>WACC!X32</f>
        <v>0.13554266666666667</v>
      </c>
      <c r="Y142" s="30">
        <f>WACC!Y32</f>
        <v>0.13554266666666667</v>
      </c>
    </row>
    <row r="143" spans="1:35" hidden="1" outlineLevel="2">
      <c r="A143" s="4"/>
      <c r="B143" s="4"/>
      <c r="C143" s="4"/>
      <c r="D143" s="29" t="s">
        <v>2</v>
      </c>
      <c r="E143" s="8"/>
      <c r="F143" s="13"/>
      <c r="G143" s="8"/>
      <c r="H143" s="8"/>
      <c r="I143" s="13"/>
      <c r="J143" s="7"/>
      <c r="K143" s="13"/>
      <c r="L143" s="13"/>
      <c r="M143" s="13"/>
      <c r="N143" s="514"/>
      <c r="O143" s="27">
        <f t="shared" ref="O143:Y143" si="53">O140/(1+O142)^O141</f>
        <v>-3.6361732552305916</v>
      </c>
      <c r="P143" s="27">
        <f t="shared" si="53"/>
        <v>-4.5728625982781024</v>
      </c>
      <c r="Q143" s="27">
        <f t="shared" si="53"/>
        <v>-2.6993953429872719</v>
      </c>
      <c r="R143" s="27">
        <f t="shared" si="53"/>
        <v>-2.1673222583544995</v>
      </c>
      <c r="S143" s="27">
        <f t="shared" si="53"/>
        <v>-1.4734004060206964</v>
      </c>
      <c r="T143" s="27">
        <f t="shared" si="53"/>
        <v>-0.57330310553952801</v>
      </c>
      <c r="U143" s="27">
        <f t="shared" si="53"/>
        <v>-3.1530718454723043E-2</v>
      </c>
      <c r="V143" s="27">
        <f t="shared" si="53"/>
        <v>0.43283510579643519</v>
      </c>
      <c r="W143" s="27">
        <f t="shared" si="53"/>
        <v>0.77915522849195296</v>
      </c>
      <c r="X143" s="483">
        <f t="shared" si="53"/>
        <v>1.2197990684685334</v>
      </c>
      <c r="Y143" s="27">
        <f t="shared" si="53"/>
        <v>12.768925598453469</v>
      </c>
    </row>
    <row r="144" spans="1:35" outlineLevel="1" collapsed="1">
      <c r="A144" s="4"/>
      <c r="B144" s="4"/>
      <c r="C144" s="4"/>
      <c r="D144" s="26" t="s">
        <v>189</v>
      </c>
      <c r="E144" s="25"/>
      <c r="F144" s="23"/>
      <c r="G144" s="25"/>
      <c r="H144" s="25"/>
      <c r="I144" s="23"/>
      <c r="J144" s="24"/>
      <c r="K144" s="23"/>
      <c r="L144" s="23"/>
      <c r="M144" s="23"/>
      <c r="N144" s="515">
        <f>SUM(O143:S143)</f>
        <v>-14.549153860871161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486"/>
      <c r="Y144" s="22"/>
    </row>
    <row r="145" spans="1:35" outlineLevel="1">
      <c r="A145" s="4"/>
      <c r="B145" s="4"/>
      <c r="C145" s="4"/>
      <c r="D145" s="29" t="s">
        <v>190</v>
      </c>
      <c r="E145" s="8"/>
      <c r="F145" s="13"/>
      <c r="G145" s="8"/>
      <c r="H145" s="8"/>
      <c r="I145" s="13"/>
      <c r="J145" s="7"/>
      <c r="K145" s="13"/>
      <c r="L145" s="13"/>
      <c r="M145" s="13"/>
      <c r="N145" s="515">
        <f>SUM(T143:Y143)</f>
        <v>14.595881177216139</v>
      </c>
      <c r="O145" s="35"/>
      <c r="P145" s="35"/>
      <c r="Q145" s="35"/>
      <c r="R145" s="35"/>
      <c r="S145" s="35"/>
      <c r="T145" s="35"/>
      <c r="U145" s="35"/>
      <c r="V145" s="35"/>
      <c r="W145" s="35"/>
      <c r="X145" s="487"/>
      <c r="Y145" s="35"/>
    </row>
    <row r="146" spans="1:35" outlineLevel="1">
      <c r="A146" s="4"/>
      <c r="B146" s="4"/>
      <c r="C146" s="4"/>
      <c r="D146" s="29" t="s">
        <v>0</v>
      </c>
      <c r="E146" s="8"/>
      <c r="F146" s="13"/>
      <c r="G146" s="8"/>
      <c r="H146" s="8"/>
      <c r="I146" s="13"/>
      <c r="J146" s="7"/>
      <c r="K146" s="13"/>
      <c r="L146" s="13"/>
      <c r="M146" s="13"/>
      <c r="N146" s="516">
        <f>N144+N145</f>
        <v>4.672731634497751E-2</v>
      </c>
      <c r="O146" s="35"/>
      <c r="P146" s="35"/>
      <c r="Q146" s="35"/>
      <c r="R146" s="35"/>
      <c r="S146" s="35"/>
      <c r="T146" s="35"/>
      <c r="U146" s="35"/>
      <c r="V146" s="35"/>
      <c r="W146" s="35"/>
      <c r="X146" s="487"/>
      <c r="Y146" s="35"/>
    </row>
    <row r="147" spans="1:35" outlineLevel="1">
      <c r="A147" s="4"/>
      <c r="B147" s="4"/>
      <c r="C147" s="4"/>
      <c r="D147" s="29"/>
      <c r="E147" s="8"/>
      <c r="F147" s="13"/>
      <c r="G147" s="8"/>
      <c r="H147" s="8"/>
      <c r="I147" s="13"/>
      <c r="J147" s="7"/>
      <c r="K147" s="13"/>
      <c r="L147" s="13"/>
      <c r="M147" s="13"/>
      <c r="N147" s="515"/>
      <c r="O147" s="35"/>
      <c r="P147" s="35"/>
      <c r="Q147" s="35"/>
      <c r="R147" s="35"/>
      <c r="S147" s="35"/>
      <c r="T147" s="35"/>
      <c r="U147" s="35"/>
      <c r="V147" s="35"/>
      <c r="W147" s="35"/>
      <c r="X147" s="487"/>
      <c r="Y147" s="35"/>
    </row>
    <row r="148" spans="1:35" outlineLevel="1">
      <c r="A148" s="4"/>
      <c r="B148" s="4"/>
      <c r="C148" s="4"/>
      <c r="D148" s="29"/>
      <c r="E148" s="8"/>
      <c r="F148" s="13"/>
      <c r="G148" s="8"/>
      <c r="H148" s="8"/>
      <c r="I148" s="13"/>
      <c r="J148" s="7"/>
      <c r="K148" s="13"/>
      <c r="L148" s="13"/>
      <c r="M148" s="13"/>
      <c r="N148" s="517"/>
      <c r="O148" s="439"/>
      <c r="P148" s="439"/>
      <c r="Q148" s="439"/>
      <c r="R148" s="439"/>
      <c r="S148" s="439"/>
      <c r="T148" s="439"/>
      <c r="U148" s="439"/>
      <c r="V148" s="439"/>
      <c r="W148" s="439"/>
      <c r="X148" s="488"/>
      <c r="Y148" s="439"/>
    </row>
    <row r="149" spans="1:35" outlineLevel="1">
      <c r="A149" s="4"/>
      <c r="B149" s="4"/>
      <c r="C149" s="4"/>
      <c r="D149" s="405" t="s">
        <v>8</v>
      </c>
      <c r="E149" s="406"/>
      <c r="F149" s="407"/>
      <c r="G149" s="406"/>
      <c r="H149" s="406"/>
      <c r="I149" s="407"/>
      <c r="J149" s="408"/>
      <c r="K149" s="407"/>
      <c r="L149" s="407"/>
      <c r="M149" s="407"/>
      <c r="N149" s="481"/>
      <c r="O149" s="409">
        <v>7.5438381200361899</v>
      </c>
      <c r="P149" s="447">
        <f>O149*(1+P150)</f>
        <v>7.7022587205569488</v>
      </c>
      <c r="Q149" s="447">
        <f t="shared" ref="Q149:Y149" si="54">P149*(1+Q150)</f>
        <v>7.8640061536886439</v>
      </c>
      <c r="R149" s="447">
        <f t="shared" si="54"/>
        <v>8.0291502829161043</v>
      </c>
      <c r="S149" s="447">
        <f t="shared" si="54"/>
        <v>8.1977624388573425</v>
      </c>
      <c r="T149" s="447">
        <f t="shared" si="54"/>
        <v>8.4027064998287759</v>
      </c>
      <c r="U149" s="447">
        <f t="shared" si="54"/>
        <v>8.6127741623244951</v>
      </c>
      <c r="V149" s="447">
        <f t="shared" si="54"/>
        <v>8.8280935163826069</v>
      </c>
      <c r="W149" s="447">
        <f t="shared" si="54"/>
        <v>9.0487958542921714</v>
      </c>
      <c r="X149" s="490">
        <f t="shared" si="54"/>
        <v>9.2750157506494748</v>
      </c>
      <c r="Y149" s="447">
        <f t="shared" si="54"/>
        <v>9.5068911444157109</v>
      </c>
      <c r="Z149" s="404"/>
    </row>
    <row r="150" spans="1:35" outlineLevel="1">
      <c r="A150" s="4"/>
      <c r="B150" s="4"/>
      <c r="C150" s="4"/>
      <c r="D150" s="410" t="s">
        <v>177</v>
      </c>
      <c r="E150" s="406"/>
      <c r="F150" s="407"/>
      <c r="G150" s="406"/>
      <c r="H150" s="406"/>
      <c r="I150" s="411"/>
      <c r="J150" s="408"/>
      <c r="K150" s="407"/>
      <c r="L150" s="407"/>
      <c r="M150" s="407"/>
      <c r="N150" s="518"/>
      <c r="O150" s="409"/>
      <c r="P150" s="417">
        <f>'Volume &amp; CPI forecast'!P13</f>
        <v>2.1000000000000001E-2</v>
      </c>
      <c r="Q150" s="417">
        <f>'Volume &amp; CPI forecast'!Q13</f>
        <v>2.1000000000000001E-2</v>
      </c>
      <c r="R150" s="417">
        <f>'Volume &amp; CPI forecast'!R13</f>
        <v>2.1000000000000001E-2</v>
      </c>
      <c r="S150" s="417">
        <f>'Volume &amp; CPI forecast'!S13</f>
        <v>2.1000000000000001E-2</v>
      </c>
      <c r="T150" s="417">
        <f>'Volume &amp; CPI forecast'!T13</f>
        <v>2.5000000000000001E-2</v>
      </c>
      <c r="U150" s="417">
        <f>'Volume &amp; CPI forecast'!U13</f>
        <v>2.5000000000000001E-2</v>
      </c>
      <c r="V150" s="417">
        <f>'Volume &amp; CPI forecast'!V13</f>
        <v>2.5000000000000001E-2</v>
      </c>
      <c r="W150" s="417">
        <f>'Volume &amp; CPI forecast'!W13</f>
        <v>2.5000000000000001E-2</v>
      </c>
      <c r="X150" s="495">
        <f>'Volume &amp; CPI forecast'!X13</f>
        <v>2.5000000000000001E-2</v>
      </c>
      <c r="Y150" s="417">
        <f>'Volume &amp; CPI forecast'!Y13</f>
        <v>2.5000000000000001E-2</v>
      </c>
      <c r="Z150" s="393"/>
      <c r="AA150" s="393"/>
      <c r="AB150" s="393"/>
      <c r="AC150" s="393"/>
      <c r="AD150" s="393"/>
      <c r="AE150" s="393"/>
      <c r="AF150" s="393"/>
      <c r="AG150" s="393"/>
      <c r="AH150" s="393"/>
      <c r="AI150" s="393"/>
    </row>
    <row r="151" spans="1:35" outlineLevel="1">
      <c r="A151" s="4"/>
      <c r="B151" s="4"/>
      <c r="C151" s="4"/>
      <c r="D151" s="410" t="str">
        <f>D30</f>
        <v>Total Departing seat Dom Jet</v>
      </c>
      <c r="E151" s="406"/>
      <c r="F151" s="407"/>
      <c r="G151" s="406"/>
      <c r="H151" s="406"/>
      <c r="I151" s="411"/>
      <c r="J151" s="408"/>
      <c r="K151" s="407"/>
      <c r="L151" s="407"/>
      <c r="M151" s="407"/>
      <c r="N151" s="518"/>
      <c r="O151" s="412">
        <f t="shared" ref="O151:Y151" si="55">O30</f>
        <v>1.06345925</v>
      </c>
      <c r="P151" s="412">
        <f t="shared" si="55"/>
        <v>1.9771650000000001</v>
      </c>
      <c r="Q151" s="412">
        <f t="shared" si="55"/>
        <v>1.9958100000000001</v>
      </c>
      <c r="R151" s="412">
        <f t="shared" si="55"/>
        <v>2.0064320000000002</v>
      </c>
      <c r="S151" s="412">
        <f t="shared" si="55"/>
        <v>2.002713</v>
      </c>
      <c r="T151" s="412">
        <f t="shared" si="55"/>
        <v>2.011371</v>
      </c>
      <c r="U151" s="412">
        <f t="shared" si="55"/>
        <v>2.0046560000000002</v>
      </c>
      <c r="V151" s="412">
        <f t="shared" si="55"/>
        <v>2.016133</v>
      </c>
      <c r="W151" s="412">
        <f t="shared" si="55"/>
        <v>2.0171559999999999</v>
      </c>
      <c r="X151" s="491">
        <f t="shared" si="55"/>
        <v>2.0572611926385815</v>
      </c>
      <c r="Y151" s="412">
        <f t="shared" si="55"/>
        <v>12.236004900967851</v>
      </c>
      <c r="Z151" s="393"/>
      <c r="AA151" s="393"/>
      <c r="AB151" s="393"/>
      <c r="AC151" s="393"/>
      <c r="AD151" s="393"/>
      <c r="AE151" s="393"/>
      <c r="AF151" s="393"/>
      <c r="AG151" s="393"/>
      <c r="AH151" s="393"/>
      <c r="AI151" s="393"/>
    </row>
    <row r="152" spans="1:35" outlineLevel="1">
      <c r="A152" s="4"/>
      <c r="B152" s="4"/>
      <c r="C152" s="4"/>
      <c r="D152" s="413" t="s">
        <v>5</v>
      </c>
      <c r="E152" s="406"/>
      <c r="F152" s="407"/>
      <c r="G152" s="406"/>
      <c r="H152" s="406"/>
      <c r="I152" s="407"/>
      <c r="J152" s="408"/>
      <c r="K152" s="407"/>
      <c r="L152" s="407"/>
      <c r="M152" s="407"/>
      <c r="N152" s="492"/>
      <c r="O152" s="414">
        <f t="shared" ref="O152:Y152" si="56">O149*O151</f>
        <v>8.0225644292550964</v>
      </c>
      <c r="P152" s="414">
        <f t="shared" si="56"/>
        <v>15.228636363229981</v>
      </c>
      <c r="Q152" s="414">
        <f t="shared" si="56"/>
        <v>15.695062121593333</v>
      </c>
      <c r="R152" s="414">
        <f t="shared" si="56"/>
        <v>16.109944060451927</v>
      </c>
      <c r="S152" s="414">
        <f t="shared" si="56"/>
        <v>16.417765407211306</v>
      </c>
      <c r="T152" s="414">
        <f t="shared" si="56"/>
        <v>16.900960175267105</v>
      </c>
      <c r="U152" s="414">
        <f t="shared" si="56"/>
        <v>17.265649401148774</v>
      </c>
      <c r="V152" s="414">
        <f t="shared" si="56"/>
        <v>17.798610665465013</v>
      </c>
      <c r="W152" s="414">
        <f t="shared" si="56"/>
        <v>18.252832850260578</v>
      </c>
      <c r="X152" s="492">
        <f t="shared" si="56"/>
        <v>19.081129964922766</v>
      </c>
      <c r="Y152" s="414">
        <f t="shared" si="56"/>
        <v>116.3263666360385</v>
      </c>
    </row>
    <row r="153" spans="1:35" outlineLevel="1">
      <c r="A153" s="4"/>
      <c r="B153" s="4"/>
      <c r="C153" s="4"/>
      <c r="D153" s="413" t="s">
        <v>141</v>
      </c>
      <c r="E153" s="406"/>
      <c r="F153" s="407"/>
      <c r="G153" s="406"/>
      <c r="H153" s="406"/>
      <c r="I153" s="407"/>
      <c r="J153" s="408"/>
      <c r="K153" s="407"/>
      <c r="L153" s="407"/>
      <c r="M153" s="407"/>
      <c r="N153" s="492"/>
      <c r="O153" s="414">
        <f t="shared" ref="O153:Y153" si="57">O43</f>
        <v>9.7046741725771177</v>
      </c>
      <c r="P153" s="414">
        <f t="shared" si="57"/>
        <v>17.518199989113306</v>
      </c>
      <c r="Q153" s="414">
        <f t="shared" si="57"/>
        <v>17.498120336566721</v>
      </c>
      <c r="R153" s="414">
        <f t="shared" si="57"/>
        <v>17.465937688431556</v>
      </c>
      <c r="S153" s="414">
        <f t="shared" si="57"/>
        <v>17.431390589824698</v>
      </c>
      <c r="T153" s="414">
        <f t="shared" si="57"/>
        <v>17.813806181708113</v>
      </c>
      <c r="U153" s="414">
        <f t="shared" si="57"/>
        <v>17.771904009416389</v>
      </c>
      <c r="V153" s="414">
        <f t="shared" si="57"/>
        <v>17.739827599536675</v>
      </c>
      <c r="W153" s="414">
        <f t="shared" si="57"/>
        <v>17.717879831030384</v>
      </c>
      <c r="X153" s="492">
        <f t="shared" si="57"/>
        <v>17.703428092553992</v>
      </c>
      <c r="Y153" s="414">
        <f t="shared" si="57"/>
        <v>92.458288630498416</v>
      </c>
    </row>
    <row r="154" spans="1:35" outlineLevel="1">
      <c r="A154" s="4"/>
      <c r="B154" s="4"/>
      <c r="C154" s="4"/>
      <c r="D154" s="413" t="s">
        <v>143</v>
      </c>
      <c r="E154" s="406"/>
      <c r="F154" s="407"/>
      <c r="G154" s="406"/>
      <c r="H154" s="406"/>
      <c r="I154" s="407"/>
      <c r="J154" s="408"/>
      <c r="K154" s="407"/>
      <c r="L154" s="407"/>
      <c r="M154" s="407"/>
      <c r="N154" s="493"/>
      <c r="O154" s="415">
        <f t="shared" ref="O154:Y154" si="58">O152-O153</f>
        <v>-1.6821097433220213</v>
      </c>
      <c r="P154" s="415">
        <f t="shared" si="58"/>
        <v>-2.289563625883325</v>
      </c>
      <c r="Q154" s="415">
        <f t="shared" si="58"/>
        <v>-1.8030582149733885</v>
      </c>
      <c r="R154" s="415">
        <f t="shared" si="58"/>
        <v>-1.355993627979629</v>
      </c>
      <c r="S154" s="415">
        <f t="shared" si="58"/>
        <v>-1.0136251826133922</v>
      </c>
      <c r="T154" s="415">
        <f t="shared" si="58"/>
        <v>-0.91284600644100777</v>
      </c>
      <c r="U154" s="415">
        <f t="shared" si="58"/>
        <v>-0.50625460826761426</v>
      </c>
      <c r="V154" s="415">
        <f t="shared" si="58"/>
        <v>5.8783065928338374E-2</v>
      </c>
      <c r="W154" s="415">
        <f t="shared" si="58"/>
        <v>0.53495301923019412</v>
      </c>
      <c r="X154" s="493">
        <f t="shared" si="58"/>
        <v>1.3777018723687746</v>
      </c>
      <c r="Y154" s="415">
        <f t="shared" si="58"/>
        <v>23.868078005540085</v>
      </c>
    </row>
    <row r="155" spans="1:35" outlineLevel="2">
      <c r="A155" s="4"/>
      <c r="B155" s="4"/>
      <c r="C155" s="4"/>
      <c r="D155" s="413" t="s">
        <v>4</v>
      </c>
      <c r="E155" s="406"/>
      <c r="F155" s="407"/>
      <c r="G155" s="406"/>
      <c r="H155" s="406"/>
      <c r="I155" s="407"/>
      <c r="J155" s="408"/>
      <c r="K155" s="407"/>
      <c r="L155" s="407"/>
      <c r="M155" s="407"/>
      <c r="N155" s="494"/>
      <c r="O155" s="416">
        <f>WACC!O37</f>
        <v>0.5</v>
      </c>
      <c r="P155" s="416">
        <f>WACC!P37</f>
        <v>1.5</v>
      </c>
      <c r="Q155" s="416">
        <f>WACC!Q37</f>
        <v>2.5</v>
      </c>
      <c r="R155" s="416">
        <f>WACC!R37</f>
        <v>3.5</v>
      </c>
      <c r="S155" s="416">
        <f>WACC!S37</f>
        <v>4.5</v>
      </c>
      <c r="T155" s="416">
        <f>WACC!T37</f>
        <v>5.5</v>
      </c>
      <c r="U155" s="416">
        <f>WACC!U37</f>
        <v>6.5</v>
      </c>
      <c r="V155" s="416">
        <f>WACC!V37</f>
        <v>7.5</v>
      </c>
      <c r="W155" s="416">
        <f>WACC!W37</f>
        <v>8.5</v>
      </c>
      <c r="X155" s="494">
        <f>WACC!X37</f>
        <v>9.5</v>
      </c>
      <c r="Y155" s="416">
        <f>WACC!Y37</f>
        <v>10.5</v>
      </c>
    </row>
    <row r="156" spans="1:35" outlineLevel="2">
      <c r="A156" s="4"/>
      <c r="B156" s="4"/>
      <c r="C156" s="4"/>
      <c r="D156" s="413" t="s">
        <v>3</v>
      </c>
      <c r="E156" s="406"/>
      <c r="F156" s="407"/>
      <c r="G156" s="406"/>
      <c r="H156" s="406"/>
      <c r="I156" s="407"/>
      <c r="J156" s="408"/>
      <c r="K156" s="407"/>
      <c r="L156" s="407"/>
      <c r="M156" s="407"/>
      <c r="N156" s="519"/>
      <c r="O156" s="417">
        <f>WACC!O32</f>
        <v>0.13554266666666667</v>
      </c>
      <c r="P156" s="417">
        <f>WACC!P32</f>
        <v>0.13554266666666667</v>
      </c>
      <c r="Q156" s="417">
        <f>WACC!Q32</f>
        <v>0.13554266666666667</v>
      </c>
      <c r="R156" s="417">
        <f>WACC!R32</f>
        <v>0.13554266666666667</v>
      </c>
      <c r="S156" s="417">
        <f>WACC!S32</f>
        <v>0.13554266666666667</v>
      </c>
      <c r="T156" s="417">
        <f>WACC!T32</f>
        <v>0.13554266666666667</v>
      </c>
      <c r="U156" s="417">
        <f>WACC!U32</f>
        <v>0.13554266666666667</v>
      </c>
      <c r="V156" s="417">
        <f>WACC!V32</f>
        <v>0.13554266666666667</v>
      </c>
      <c r="W156" s="417">
        <f>WACC!W32</f>
        <v>0.13554266666666667</v>
      </c>
      <c r="X156" s="495">
        <f>WACC!X32</f>
        <v>0.13554266666666667</v>
      </c>
      <c r="Y156" s="417">
        <f>WACC!Y32</f>
        <v>0.13554266666666667</v>
      </c>
    </row>
    <row r="157" spans="1:35" outlineLevel="2">
      <c r="A157" s="4"/>
      <c r="B157" s="4"/>
      <c r="C157" s="4"/>
      <c r="D157" s="424" t="s">
        <v>2</v>
      </c>
      <c r="E157" s="406"/>
      <c r="F157" s="407"/>
      <c r="G157" s="406"/>
      <c r="H157" s="406"/>
      <c r="I157" s="407"/>
      <c r="J157" s="408"/>
      <c r="K157" s="407"/>
      <c r="L157" s="407"/>
      <c r="M157" s="407"/>
      <c r="N157" s="520"/>
      <c r="O157" s="415">
        <f t="shared" ref="O157:Y157" si="59">O154/(1+O156)^O155</f>
        <v>-1.5785291198023845</v>
      </c>
      <c r="P157" s="415">
        <f t="shared" si="59"/>
        <v>-1.8921150120708194</v>
      </c>
      <c r="Q157" s="415">
        <f t="shared" si="59"/>
        <v>-1.3122032423277281</v>
      </c>
      <c r="R157" s="415">
        <f t="shared" si="59"/>
        <v>-0.86905157173475434</v>
      </c>
      <c r="S157" s="415">
        <f t="shared" si="59"/>
        <v>-0.57208667896834065</v>
      </c>
      <c r="T157" s="415">
        <f t="shared" si="59"/>
        <v>-0.45371016213515208</v>
      </c>
      <c r="U157" s="415">
        <f t="shared" si="59"/>
        <v>-0.22158814365972451</v>
      </c>
      <c r="V157" s="415">
        <f t="shared" si="59"/>
        <v>2.2658246983709388E-2</v>
      </c>
      <c r="W157" s="415">
        <f t="shared" si="59"/>
        <v>0.18158762931328723</v>
      </c>
      <c r="X157" s="493">
        <f t="shared" si="59"/>
        <v>0.41183419862490606</v>
      </c>
      <c r="Y157" s="415">
        <f t="shared" si="59"/>
        <v>6.2832038557770122</v>
      </c>
    </row>
    <row r="158" spans="1:35" outlineLevel="1">
      <c r="A158" s="4"/>
      <c r="B158" s="4"/>
      <c r="C158" s="4"/>
      <c r="D158" s="413" t="s">
        <v>189</v>
      </c>
      <c r="E158" s="418"/>
      <c r="F158" s="419"/>
      <c r="G158" s="418"/>
      <c r="H158" s="418"/>
      <c r="I158" s="419"/>
      <c r="J158" s="420"/>
      <c r="K158" s="419"/>
      <c r="L158" s="419"/>
      <c r="M158" s="419"/>
      <c r="N158" s="521">
        <f>SUM(O157:S157)</f>
        <v>-6.2239856249040271</v>
      </c>
      <c r="O158" s="421"/>
      <c r="P158" s="421"/>
      <c r="Q158" s="421"/>
      <c r="R158" s="421"/>
      <c r="S158" s="421"/>
      <c r="T158" s="421"/>
      <c r="U158" s="421"/>
      <c r="V158" s="421"/>
      <c r="W158" s="421"/>
      <c r="X158" s="496"/>
      <c r="Y158" s="421"/>
    </row>
    <row r="159" spans="1:35" outlineLevel="1">
      <c r="A159" s="4"/>
      <c r="B159" s="4"/>
      <c r="C159" s="4"/>
      <c r="D159" s="413" t="s">
        <v>191</v>
      </c>
      <c r="E159" s="406"/>
      <c r="F159" s="422"/>
      <c r="G159" s="406"/>
      <c r="H159" s="406"/>
      <c r="I159" s="407"/>
      <c r="J159" s="408"/>
      <c r="K159" s="407"/>
      <c r="L159" s="407"/>
      <c r="M159" s="423"/>
      <c r="N159" s="515">
        <f>SUM(T157:Y157)</f>
        <v>6.2239856249040386</v>
      </c>
      <c r="O159" s="423"/>
      <c r="P159" s="422"/>
      <c r="Q159" s="422"/>
      <c r="R159" s="422"/>
      <c r="S159" s="422"/>
      <c r="T159" s="422"/>
      <c r="U159" s="422"/>
      <c r="V159" s="422"/>
      <c r="W159" s="422"/>
      <c r="X159" s="497"/>
      <c r="Y159" s="423"/>
    </row>
    <row r="160" spans="1:35" outlineLevel="1">
      <c r="A160" s="4"/>
      <c r="B160" s="4"/>
      <c r="C160" s="4"/>
      <c r="D160" s="413" t="s">
        <v>0</v>
      </c>
      <c r="E160" s="406"/>
      <c r="F160" s="422"/>
      <c r="G160" s="406"/>
      <c r="H160" s="406"/>
      <c r="I160" s="407"/>
      <c r="J160" s="408"/>
      <c r="K160" s="407"/>
      <c r="L160" s="407"/>
      <c r="M160" s="423"/>
      <c r="N160" s="522">
        <f>SUM(N158:N159)</f>
        <v>1.1546319456101628E-14</v>
      </c>
      <c r="O160" s="423"/>
      <c r="P160" s="422"/>
      <c r="Q160" s="422"/>
      <c r="R160" s="422"/>
      <c r="S160" s="422"/>
      <c r="T160" s="422"/>
      <c r="U160" s="422"/>
      <c r="V160" s="422"/>
      <c r="W160" s="422"/>
      <c r="X160" s="497"/>
      <c r="Y160" s="423"/>
    </row>
    <row r="161" spans="1:25" outlineLevel="1">
      <c r="A161" s="4"/>
      <c r="B161" s="4"/>
      <c r="C161" s="4"/>
      <c r="D161" s="7"/>
      <c r="E161" s="7"/>
      <c r="F161" s="13"/>
      <c r="G161" s="8"/>
      <c r="H161" s="8"/>
      <c r="I161" s="13"/>
      <c r="J161" s="7"/>
      <c r="K161" s="13"/>
      <c r="L161" s="13"/>
      <c r="M161" s="13"/>
      <c r="N161" s="517"/>
      <c r="O161" s="439"/>
      <c r="P161" s="439"/>
      <c r="Q161" s="439"/>
      <c r="R161" s="439"/>
      <c r="S161" s="439"/>
      <c r="T161" s="439"/>
      <c r="U161" s="439"/>
      <c r="V161" s="439"/>
      <c r="W161" s="439"/>
      <c r="X161" s="488"/>
      <c r="Y161" s="439"/>
    </row>
    <row r="162" spans="1:25" outlineLevel="1">
      <c r="A162" s="4"/>
      <c r="B162" s="4"/>
      <c r="C162" s="4"/>
      <c r="D162" s="34" t="s">
        <v>7</v>
      </c>
      <c r="E162" s="8"/>
      <c r="F162" s="13"/>
      <c r="G162" s="8"/>
      <c r="H162" s="8"/>
      <c r="I162" s="13"/>
      <c r="J162" s="7"/>
      <c r="K162" s="13"/>
      <c r="L162" s="13"/>
      <c r="M162" s="13"/>
      <c r="N162" s="481"/>
      <c r="O162" s="33">
        <v>2.8021225113711523</v>
      </c>
      <c r="P162" s="337">
        <f>O162*(1+P163)</f>
        <v>2.8609670841099462</v>
      </c>
      <c r="Q162" s="337">
        <f t="shared" ref="Q162:Y162" si="60">P162*(1+Q163)</f>
        <v>2.9210473928762548</v>
      </c>
      <c r="R162" s="337">
        <f t="shared" si="60"/>
        <v>2.9823893881266561</v>
      </c>
      <c r="S162" s="337">
        <f t="shared" si="60"/>
        <v>3.0450195652773155</v>
      </c>
      <c r="T162" s="337">
        <f t="shared" si="60"/>
        <v>3.1211450544092481</v>
      </c>
      <c r="U162" s="337">
        <f t="shared" si="60"/>
        <v>3.1991736807694791</v>
      </c>
      <c r="V162" s="337">
        <f t="shared" si="60"/>
        <v>3.2791530227887158</v>
      </c>
      <c r="W162" s="337">
        <f t="shared" si="60"/>
        <v>3.3611318483584336</v>
      </c>
      <c r="X162" s="481">
        <f t="shared" si="60"/>
        <v>3.4451601445673941</v>
      </c>
      <c r="Y162" s="337">
        <f t="shared" si="60"/>
        <v>3.5312891481815787</v>
      </c>
    </row>
    <row r="163" spans="1:25" outlineLevel="1">
      <c r="A163" s="4"/>
      <c r="B163" s="4"/>
      <c r="C163" s="4"/>
      <c r="D163" s="410" t="s">
        <v>177</v>
      </c>
      <c r="E163" s="406"/>
      <c r="F163" s="407"/>
      <c r="G163" s="406"/>
      <c r="H163" s="406"/>
      <c r="I163" s="411"/>
      <c r="J163" s="408"/>
      <c r="K163" s="407"/>
      <c r="L163" s="407"/>
      <c r="M163" s="407"/>
      <c r="N163" s="518"/>
      <c r="O163" s="409"/>
      <c r="P163" s="417">
        <f>'Volume &amp; CPI forecast'!P13</f>
        <v>2.1000000000000001E-2</v>
      </c>
      <c r="Q163" s="417">
        <f>'Volume &amp; CPI forecast'!Q13</f>
        <v>2.1000000000000001E-2</v>
      </c>
      <c r="R163" s="417">
        <f>'Volume &amp; CPI forecast'!R13</f>
        <v>2.1000000000000001E-2</v>
      </c>
      <c r="S163" s="417">
        <f>'Volume &amp; CPI forecast'!S13</f>
        <v>2.1000000000000001E-2</v>
      </c>
      <c r="T163" s="417">
        <f>'Volume &amp; CPI forecast'!T13</f>
        <v>2.5000000000000001E-2</v>
      </c>
      <c r="U163" s="417">
        <f>'Volume &amp; CPI forecast'!U13</f>
        <v>2.5000000000000001E-2</v>
      </c>
      <c r="V163" s="417">
        <f>'Volume &amp; CPI forecast'!V13</f>
        <v>2.5000000000000001E-2</v>
      </c>
      <c r="W163" s="417">
        <f>'Volume &amp; CPI forecast'!W13</f>
        <v>2.5000000000000001E-2</v>
      </c>
      <c r="X163" s="495">
        <f>'Volume &amp; CPI forecast'!X13</f>
        <v>2.5000000000000001E-2</v>
      </c>
      <c r="Y163" s="417">
        <f>'Volume &amp; CPI forecast'!Y13</f>
        <v>2.5000000000000001E-2</v>
      </c>
    </row>
    <row r="164" spans="1:25" outlineLevel="1">
      <c r="A164" s="4"/>
      <c r="B164" s="4"/>
      <c r="C164" s="4"/>
      <c r="D164" s="63" t="s">
        <v>188</v>
      </c>
      <c r="E164" s="62"/>
      <c r="F164" s="62"/>
      <c r="G164" s="62"/>
      <c r="H164" s="62"/>
      <c r="I164" s="61"/>
      <c r="J164" s="60"/>
      <c r="K164" s="59"/>
      <c r="L164" s="59"/>
      <c r="M164" s="59"/>
      <c r="N164" s="498"/>
      <c r="O164" s="442">
        <f t="shared" ref="O164:Y164" si="61">O31</f>
        <v>0.60570125000000008</v>
      </c>
      <c r="P164" s="442">
        <f t="shared" si="61"/>
        <v>1.0948230000000001</v>
      </c>
      <c r="Q164" s="442">
        <f t="shared" si="61"/>
        <v>1.0962890000000001</v>
      </c>
      <c r="R164" s="442">
        <f t="shared" si="61"/>
        <v>1.104465</v>
      </c>
      <c r="S164" s="442">
        <f t="shared" si="61"/>
        <v>1.117308</v>
      </c>
      <c r="T164" s="442">
        <f t="shared" si="61"/>
        <v>1.1263399999999999</v>
      </c>
      <c r="U164" s="442">
        <f t="shared" si="61"/>
        <v>1.1395</v>
      </c>
      <c r="V164" s="442">
        <f t="shared" si="61"/>
        <v>1.153912</v>
      </c>
      <c r="W164" s="442">
        <f t="shared" si="61"/>
        <v>1.1618360000000001</v>
      </c>
      <c r="X164" s="498">
        <f t="shared" si="61"/>
        <v>1.1894935419223924</v>
      </c>
      <c r="Y164" s="442">
        <f t="shared" si="61"/>
        <v>7.0747695337433738</v>
      </c>
    </row>
    <row r="165" spans="1:25" outlineLevel="1">
      <c r="A165" s="4"/>
      <c r="B165" s="4"/>
      <c r="C165" s="4"/>
      <c r="D165" s="29" t="s">
        <v>5</v>
      </c>
      <c r="E165" s="8"/>
      <c r="F165" s="13"/>
      <c r="G165" s="8"/>
      <c r="H165" s="8"/>
      <c r="I165" s="13"/>
      <c r="J165" s="7"/>
      <c r="K165" s="13"/>
      <c r="L165" s="13"/>
      <c r="M165" s="28"/>
      <c r="N165" s="482"/>
      <c r="O165" s="32">
        <f t="shared" ref="O165:Y165" si="62">O162*O164</f>
        <v>1.6972491077906464</v>
      </c>
      <c r="P165" s="32">
        <f t="shared" si="62"/>
        <v>3.1322525659265037</v>
      </c>
      <c r="Q165" s="32">
        <f t="shared" si="62"/>
        <v>3.2023121252889166</v>
      </c>
      <c r="R165" s="32">
        <f t="shared" si="62"/>
        <v>3.2939446955573075</v>
      </c>
      <c r="S165" s="32">
        <f t="shared" si="62"/>
        <v>3.4022247204408669</v>
      </c>
      <c r="T165" s="32">
        <f t="shared" si="62"/>
        <v>3.5154705205833121</v>
      </c>
      <c r="U165" s="32">
        <f t="shared" si="62"/>
        <v>3.6454584092368214</v>
      </c>
      <c r="V165" s="32">
        <f t="shared" si="62"/>
        <v>3.7838540228321729</v>
      </c>
      <c r="W165" s="32">
        <f t="shared" si="62"/>
        <v>3.9050839821693692</v>
      </c>
      <c r="X165" s="482">
        <f t="shared" si="62"/>
        <v>4.0979957428513307</v>
      </c>
      <c r="Y165" s="32">
        <f t="shared" si="62"/>
        <v>24.983056880393622</v>
      </c>
    </row>
    <row r="166" spans="1:25" outlineLevel="1">
      <c r="A166" s="4"/>
      <c r="B166" s="4"/>
      <c r="C166" s="4"/>
      <c r="D166" s="29" t="s">
        <v>141</v>
      </c>
      <c r="E166" s="8"/>
      <c r="F166" s="13"/>
      <c r="G166" s="8"/>
      <c r="H166" s="8"/>
      <c r="I166" s="13"/>
      <c r="J166" s="7"/>
      <c r="K166" s="13"/>
      <c r="L166" s="13"/>
      <c r="M166" s="28"/>
      <c r="N166" s="482"/>
      <c r="O166" s="32">
        <f t="shared" ref="O166:Y166" si="63">O44</f>
        <v>2.0549094216198869</v>
      </c>
      <c r="P166" s="32">
        <f t="shared" si="63"/>
        <v>3.6136484848573653</v>
      </c>
      <c r="Q166" s="32">
        <f t="shared" si="63"/>
        <v>3.6306154356413702</v>
      </c>
      <c r="R166" s="32">
        <f t="shared" si="63"/>
        <v>3.6477471547142364</v>
      </c>
      <c r="S166" s="32">
        <f t="shared" si="63"/>
        <v>3.6664931223924606</v>
      </c>
      <c r="T166" s="32">
        <f t="shared" si="63"/>
        <v>3.6439631238478669</v>
      </c>
      <c r="U166" s="32">
        <f t="shared" si="63"/>
        <v>3.6590038018318132</v>
      </c>
      <c r="V166" s="32">
        <f t="shared" si="63"/>
        <v>3.6761752226942535</v>
      </c>
      <c r="W166" s="32">
        <f t="shared" si="63"/>
        <v>3.6960253616762748</v>
      </c>
      <c r="X166" s="482">
        <f t="shared" si="63"/>
        <v>3.7180633028193615</v>
      </c>
      <c r="Y166" s="32">
        <f t="shared" si="63"/>
        <v>20.178353404594734</v>
      </c>
    </row>
    <row r="167" spans="1:25" outlineLevel="1">
      <c r="A167" s="4"/>
      <c r="B167" s="4"/>
      <c r="C167" s="4"/>
      <c r="D167" s="29" t="s">
        <v>143</v>
      </c>
      <c r="E167" s="8"/>
      <c r="F167" s="13"/>
      <c r="G167" s="8"/>
      <c r="H167" s="8"/>
      <c r="I167" s="13"/>
      <c r="J167" s="7"/>
      <c r="K167" s="13"/>
      <c r="L167" s="13"/>
      <c r="M167" s="28"/>
      <c r="N167" s="483"/>
      <c r="O167" s="27">
        <f t="shared" ref="O167:Y167" si="64">O165-O166</f>
        <v>-0.35766031382924046</v>
      </c>
      <c r="P167" s="27">
        <f t="shared" si="64"/>
        <v>-0.48139591893086164</v>
      </c>
      <c r="Q167" s="27">
        <f t="shared" si="64"/>
        <v>-0.42830331035245361</v>
      </c>
      <c r="R167" s="27">
        <f t="shared" si="64"/>
        <v>-0.35380245915692887</v>
      </c>
      <c r="S167" s="27">
        <f t="shared" si="64"/>
        <v>-0.26426840195159373</v>
      </c>
      <c r="T167" s="27">
        <f t="shared" si="64"/>
        <v>-0.12849260326455481</v>
      </c>
      <c r="U167" s="27">
        <f t="shared" si="64"/>
        <v>-1.3545392594991768E-2</v>
      </c>
      <c r="V167" s="27">
        <f t="shared" si="64"/>
        <v>0.10767880013791942</v>
      </c>
      <c r="W167" s="27">
        <f t="shared" si="64"/>
        <v>0.20905862049309443</v>
      </c>
      <c r="X167" s="483">
        <f t="shared" si="64"/>
        <v>0.37993244003196924</v>
      </c>
      <c r="Y167" s="27">
        <f t="shared" si="64"/>
        <v>4.8047034757988882</v>
      </c>
    </row>
    <row r="168" spans="1:25" outlineLevel="2">
      <c r="A168" s="4"/>
      <c r="B168" s="4"/>
      <c r="C168" s="4"/>
      <c r="D168" s="29" t="s">
        <v>4</v>
      </c>
      <c r="E168" s="8"/>
      <c r="F168" s="13"/>
      <c r="G168" s="8"/>
      <c r="H168" s="8"/>
      <c r="I168" s="13"/>
      <c r="J168" s="7"/>
      <c r="K168" s="13"/>
      <c r="L168" s="13"/>
      <c r="M168" s="28"/>
      <c r="N168" s="484"/>
      <c r="O168" s="31">
        <f>WACC!O37</f>
        <v>0.5</v>
      </c>
      <c r="P168" s="31">
        <f>WACC!P37</f>
        <v>1.5</v>
      </c>
      <c r="Q168" s="31">
        <f>WACC!Q37</f>
        <v>2.5</v>
      </c>
      <c r="R168" s="31">
        <f>WACC!R37</f>
        <v>3.5</v>
      </c>
      <c r="S168" s="31">
        <f>WACC!S37</f>
        <v>4.5</v>
      </c>
      <c r="T168" s="31">
        <f>WACC!T37</f>
        <v>5.5</v>
      </c>
      <c r="U168" s="31">
        <f>WACC!U37</f>
        <v>6.5</v>
      </c>
      <c r="V168" s="31">
        <f>WACC!V37</f>
        <v>7.5</v>
      </c>
      <c r="W168" s="31">
        <f>WACC!W37</f>
        <v>8.5</v>
      </c>
      <c r="X168" s="484">
        <f>WACC!X37</f>
        <v>9.5</v>
      </c>
      <c r="Y168" s="31">
        <f>WACC!Y37</f>
        <v>10.5</v>
      </c>
    </row>
    <row r="169" spans="1:25" outlineLevel="2">
      <c r="A169" s="4"/>
      <c r="B169" s="4"/>
      <c r="C169" s="4"/>
      <c r="D169" s="29" t="s">
        <v>3</v>
      </c>
      <c r="E169" s="8"/>
      <c r="F169" s="13"/>
      <c r="G169" s="8"/>
      <c r="H169" s="8"/>
      <c r="I169" s="13"/>
      <c r="J169" s="7"/>
      <c r="K169" s="13"/>
      <c r="L169" s="13"/>
      <c r="M169" s="28"/>
      <c r="N169" s="513"/>
      <c r="O169" s="30">
        <f>WACC!O32</f>
        <v>0.13554266666666667</v>
      </c>
      <c r="P169" s="30">
        <f>WACC!P32</f>
        <v>0.13554266666666667</v>
      </c>
      <c r="Q169" s="30">
        <f>WACC!Q32</f>
        <v>0.13554266666666667</v>
      </c>
      <c r="R169" s="30">
        <f>WACC!R32</f>
        <v>0.13554266666666667</v>
      </c>
      <c r="S169" s="30">
        <f>WACC!S32</f>
        <v>0.13554266666666667</v>
      </c>
      <c r="T169" s="30">
        <f>WACC!T32</f>
        <v>0.13554266666666667</v>
      </c>
      <c r="U169" s="30">
        <f>WACC!U32</f>
        <v>0.13554266666666667</v>
      </c>
      <c r="V169" s="30">
        <f>WACC!V32</f>
        <v>0.13554266666666667</v>
      </c>
      <c r="W169" s="30">
        <f>WACC!W32</f>
        <v>0.13554266666666667</v>
      </c>
      <c r="X169" s="485">
        <f>WACC!X32</f>
        <v>0.13554266666666667</v>
      </c>
      <c r="Y169" s="30">
        <f>WACC!Y32</f>
        <v>0.13554266666666667</v>
      </c>
    </row>
    <row r="170" spans="1:25" outlineLevel="2">
      <c r="A170" s="4"/>
      <c r="B170" s="4"/>
      <c r="C170" s="4"/>
      <c r="D170" s="29" t="s">
        <v>2</v>
      </c>
      <c r="E170" s="8"/>
      <c r="F170" s="13"/>
      <c r="G170" s="8"/>
      <c r="H170" s="8"/>
      <c r="I170" s="13"/>
      <c r="J170" s="7"/>
      <c r="K170" s="13"/>
      <c r="L170" s="13"/>
      <c r="M170" s="28"/>
      <c r="N170" s="514"/>
      <c r="O170" s="27">
        <f>O167/(1+O169)^O168</f>
        <v>-0.33563637724499734</v>
      </c>
      <c r="P170" s="27">
        <f>P167/(1+P169)^P168</f>
        <v>-0.39782971508699505</v>
      </c>
      <c r="Q170" s="27">
        <f>Q167/(1+Q169)^Q168</f>
        <v>-0.31170429655399878</v>
      </c>
      <c r="R170" s="27">
        <f>R167/(1+R169)^R168</f>
        <v>-0.22675075816696197</v>
      </c>
      <c r="S170" s="27">
        <f>S167/(1+S169)^S168</f>
        <v>-0.1491522063796448</v>
      </c>
      <c r="T170" s="27">
        <f t="shared" ref="T170:Y170" si="65">T167/(1+T169)^T168</f>
        <v>-6.3864440934152722E-2</v>
      </c>
      <c r="U170" s="27">
        <f t="shared" si="65"/>
        <v>-5.9288317602429891E-3</v>
      </c>
      <c r="V170" s="27">
        <f t="shared" si="65"/>
        <v>4.1505369104238299E-2</v>
      </c>
      <c r="W170" s="27">
        <f t="shared" si="65"/>
        <v>7.0964099496953592E-2</v>
      </c>
      <c r="X170" s="483">
        <f t="shared" si="65"/>
        <v>0.11357259150932514</v>
      </c>
      <c r="Y170" s="27">
        <f t="shared" si="65"/>
        <v>1.2648245660164825</v>
      </c>
    </row>
    <row r="171" spans="1:25" outlineLevel="1">
      <c r="A171" s="4"/>
      <c r="B171" s="4"/>
      <c r="C171" s="4"/>
      <c r="D171" s="413" t="s">
        <v>189</v>
      </c>
      <c r="E171" s="418"/>
      <c r="F171" s="419"/>
      <c r="G171" s="418"/>
      <c r="H171" s="418"/>
      <c r="I171" s="419"/>
      <c r="J171" s="420"/>
      <c r="K171" s="419"/>
      <c r="L171" s="419"/>
      <c r="M171" s="419"/>
      <c r="N171" s="521">
        <f>SUM(O170:S170)</f>
        <v>-1.4210733534325979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486"/>
      <c r="Y171" s="22"/>
    </row>
    <row r="172" spans="1:25" outlineLevel="1">
      <c r="A172" s="4"/>
      <c r="B172" s="4"/>
      <c r="C172" s="4"/>
      <c r="D172" s="413" t="s">
        <v>191</v>
      </c>
      <c r="E172" s="406"/>
      <c r="F172" s="422"/>
      <c r="G172" s="406"/>
      <c r="H172" s="406"/>
      <c r="I172" s="407"/>
      <c r="J172" s="408"/>
      <c r="K172" s="407"/>
      <c r="L172" s="407"/>
      <c r="M172" s="423"/>
      <c r="N172" s="515">
        <f>SUM(T170:Y170)</f>
        <v>1.4210733534326039</v>
      </c>
      <c r="O172" s="35"/>
      <c r="P172" s="35"/>
      <c r="Q172" s="35"/>
      <c r="R172" s="35"/>
      <c r="S172" s="35"/>
      <c r="T172" s="35"/>
      <c r="U172" s="35"/>
      <c r="V172" s="35"/>
      <c r="W172" s="35"/>
      <c r="X172" s="487"/>
      <c r="Y172" s="35"/>
    </row>
    <row r="173" spans="1:25" outlineLevel="1">
      <c r="A173" s="4"/>
      <c r="B173" s="4"/>
      <c r="C173" s="4"/>
      <c r="D173" s="413" t="s">
        <v>0</v>
      </c>
      <c r="E173" s="406"/>
      <c r="F173" s="422"/>
      <c r="G173" s="406"/>
      <c r="H173" s="406"/>
      <c r="I173" s="407"/>
      <c r="J173" s="408"/>
      <c r="K173" s="407"/>
      <c r="L173" s="407"/>
      <c r="M173" s="423"/>
      <c r="N173" s="522">
        <f>SUM(N171:N172)</f>
        <v>5.9952043329758453E-15</v>
      </c>
      <c r="O173" s="35"/>
      <c r="P173" s="35"/>
      <c r="Q173" s="35"/>
      <c r="R173" s="35"/>
      <c r="S173" s="35"/>
      <c r="T173" s="35"/>
      <c r="U173" s="35"/>
      <c r="V173" s="35"/>
      <c r="W173" s="35"/>
      <c r="X173" s="487"/>
      <c r="Y173" s="35"/>
    </row>
    <row r="174" spans="1:25" outlineLevel="1">
      <c r="A174" s="4"/>
      <c r="B174" s="4"/>
      <c r="C174" s="4"/>
      <c r="D174" s="29"/>
      <c r="E174" s="8"/>
      <c r="F174" s="13"/>
      <c r="G174" s="8"/>
      <c r="H174" s="8"/>
      <c r="I174" s="13"/>
      <c r="J174" s="7"/>
      <c r="K174" s="13"/>
      <c r="L174" s="13"/>
      <c r="M174" s="13"/>
      <c r="N174" s="515"/>
      <c r="O174" s="35"/>
      <c r="P174" s="35"/>
      <c r="Q174" s="35"/>
      <c r="R174" s="35"/>
      <c r="S174" s="35"/>
      <c r="T174" s="35"/>
      <c r="U174" s="35"/>
      <c r="V174" s="35"/>
      <c r="W174" s="35"/>
      <c r="X174" s="487"/>
      <c r="Y174" s="35"/>
    </row>
    <row r="175" spans="1:25" outlineLevel="1">
      <c r="A175" s="4"/>
      <c r="B175" s="4"/>
      <c r="C175" s="4"/>
      <c r="D175" s="9"/>
      <c r="E175" s="8"/>
      <c r="F175" s="13"/>
      <c r="G175" s="9"/>
      <c r="H175" s="8"/>
      <c r="I175" s="13"/>
      <c r="J175" s="7"/>
      <c r="K175" s="14"/>
      <c r="L175" s="13"/>
      <c r="M175" s="21"/>
      <c r="N175" s="499"/>
      <c r="O175" s="11"/>
      <c r="P175" s="11"/>
      <c r="Q175" s="11"/>
      <c r="R175" s="11"/>
      <c r="S175" s="11"/>
      <c r="T175" s="11"/>
      <c r="U175" s="11"/>
      <c r="V175" s="11"/>
      <c r="W175" s="11"/>
      <c r="X175" s="499"/>
      <c r="Y175" s="11"/>
    </row>
    <row r="176" spans="1:25" outlineLevel="1">
      <c r="A176" s="4"/>
      <c r="B176" s="4"/>
      <c r="C176" s="4"/>
      <c r="D176" s="20" t="s">
        <v>24</v>
      </c>
      <c r="E176" s="19"/>
      <c r="F176" s="17"/>
      <c r="G176" s="19"/>
      <c r="H176" s="19"/>
      <c r="I176" s="17"/>
      <c r="J176" s="18"/>
      <c r="K176" s="17"/>
      <c r="L176" s="17"/>
      <c r="M176" s="17"/>
      <c r="N176" s="524">
        <f>N115+N131+N146+N160+N173</f>
        <v>4.672731634490479E-2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500"/>
      <c r="Y176" s="16"/>
    </row>
    <row r="177" spans="1:25" s="10" customFormat="1" outlineLevel="1">
      <c r="A177" s="15"/>
      <c r="B177" s="15"/>
      <c r="C177" s="15"/>
      <c r="D177" s="9"/>
      <c r="E177" s="8"/>
      <c r="F177" s="13"/>
      <c r="G177" s="9"/>
      <c r="H177" s="8"/>
      <c r="I177" s="13"/>
      <c r="J177" s="7"/>
      <c r="K177" s="14"/>
      <c r="L177" s="13"/>
      <c r="M177" s="12"/>
      <c r="N177" s="483"/>
      <c r="O177" s="505"/>
      <c r="P177" s="11"/>
      <c r="Q177" s="11"/>
      <c r="R177" s="11"/>
      <c r="S177" s="11"/>
      <c r="T177" s="11"/>
      <c r="U177" s="11"/>
      <c r="V177" s="11"/>
      <c r="W177" s="11"/>
      <c r="X177" s="499"/>
      <c r="Y177" s="11"/>
    </row>
    <row r="178" spans="1:25" outlineLevel="1">
      <c r="A178" s="4"/>
      <c r="B178" s="4"/>
      <c r="C178" s="4"/>
      <c r="D178" s="9"/>
      <c r="E178" s="8"/>
      <c r="F178" s="7"/>
      <c r="G178" s="7"/>
      <c r="H178" s="7"/>
      <c r="I178" s="7"/>
      <c r="J178" s="7"/>
      <c r="K178" s="7"/>
      <c r="L178" s="7"/>
      <c r="M178"/>
      <c r="O178" s="6"/>
      <c r="P178" s="6"/>
      <c r="Q178" s="6"/>
      <c r="R178" s="6"/>
      <c r="S178" s="6"/>
      <c r="T178" s="6"/>
      <c r="U178" s="6"/>
      <c r="V178" s="6"/>
      <c r="W178" s="6"/>
      <c r="X178" s="501"/>
      <c r="Y178" s="6"/>
    </row>
    <row r="179" spans="1:25" ht="15.75">
      <c r="A179" s="4"/>
      <c r="B179" s="4"/>
      <c r="C179" s="4"/>
      <c r="D179" s="49"/>
      <c r="E179" s="44"/>
      <c r="F179" s="48"/>
      <c r="G179" s="49"/>
      <c r="H179" s="44"/>
      <c r="I179" s="48"/>
      <c r="J179" s="48"/>
      <c r="K179" s="47"/>
      <c r="L179" s="47"/>
      <c r="M179" s="46"/>
      <c r="N179" s="479"/>
      <c r="O179" s="45"/>
      <c r="P179" s="45"/>
      <c r="Q179" s="45"/>
      <c r="R179" s="45"/>
      <c r="S179" s="45"/>
      <c r="T179" s="45"/>
      <c r="U179" s="45"/>
      <c r="V179" s="45"/>
      <c r="W179" s="45"/>
      <c r="X179" s="479"/>
      <c r="Y179" s="45"/>
    </row>
    <row r="180" spans="1:25" ht="13.5" thickBot="1">
      <c r="A180" s="4"/>
      <c r="B180" s="4"/>
      <c r="C180" s="4"/>
      <c r="D180" s="36"/>
      <c r="E180" s="44"/>
      <c r="F180" s="13"/>
      <c r="G180" s="8"/>
      <c r="H180" s="8"/>
      <c r="I180" s="13"/>
      <c r="J180" s="7"/>
      <c r="K180" s="13"/>
      <c r="L180" s="13"/>
      <c r="M180" s="43"/>
      <c r="N180" s="513"/>
      <c r="O180" s="35"/>
      <c r="P180" s="35"/>
      <c r="Q180" s="35"/>
      <c r="R180" s="35"/>
      <c r="S180" s="35"/>
      <c r="T180" s="35"/>
      <c r="U180" s="35"/>
      <c r="V180" s="35"/>
      <c r="W180" s="35"/>
      <c r="X180" s="487"/>
      <c r="Y180" s="35"/>
    </row>
    <row r="181" spans="1:25" ht="24" thickBot="1">
      <c r="A181" s="56"/>
      <c r="B181" s="55"/>
      <c r="C181" s="55"/>
      <c r="D181" s="54" t="s">
        <v>174</v>
      </c>
      <c r="E181" s="54"/>
      <c r="F181" s="53"/>
      <c r="G181" s="54"/>
      <c r="H181" s="54"/>
      <c r="I181" s="53"/>
      <c r="J181" s="53"/>
      <c r="K181" s="52"/>
      <c r="L181" s="52"/>
      <c r="M181" s="51"/>
      <c r="N181" s="509"/>
      <c r="O181" s="504" t="s">
        <v>11</v>
      </c>
      <c r="P181" s="50"/>
      <c r="Q181" s="50"/>
      <c r="R181" s="50"/>
      <c r="S181" s="50"/>
      <c r="T181" s="50"/>
      <c r="U181" s="50"/>
      <c r="V181" s="50"/>
      <c r="W181" s="50"/>
      <c r="X181" s="464"/>
      <c r="Y181" s="50"/>
    </row>
    <row r="182" spans="1:25" ht="15.75">
      <c r="A182" s="4"/>
      <c r="B182" s="4"/>
      <c r="C182" s="4"/>
      <c r="D182" s="49"/>
      <c r="E182" s="44"/>
      <c r="F182" s="48"/>
      <c r="G182" s="49"/>
      <c r="H182" s="44"/>
      <c r="I182" s="48"/>
      <c r="J182" s="48"/>
      <c r="K182" s="47"/>
      <c r="L182" s="47"/>
      <c r="M182" s="46"/>
      <c r="N182" s="479"/>
      <c r="O182" s="45"/>
      <c r="P182" s="45"/>
      <c r="Q182" s="45"/>
      <c r="R182" s="45"/>
      <c r="S182" s="45"/>
      <c r="T182" s="45"/>
      <c r="U182" s="45"/>
      <c r="V182" s="45"/>
      <c r="W182" s="45"/>
      <c r="X182" s="479"/>
      <c r="Y182" s="45"/>
    </row>
    <row r="183" spans="1:25">
      <c r="A183" s="4"/>
      <c r="B183" s="4"/>
      <c r="C183" s="4"/>
      <c r="D183" s="36"/>
      <c r="E183" s="44"/>
      <c r="F183" s="13"/>
      <c r="G183" s="8"/>
      <c r="H183" s="8"/>
      <c r="I183" s="13"/>
      <c r="J183" s="7"/>
      <c r="K183" s="13"/>
      <c r="L183" s="13"/>
      <c r="M183" s="43"/>
      <c r="N183" s="513"/>
      <c r="O183" s="35"/>
      <c r="P183" s="35"/>
      <c r="Q183" s="35"/>
      <c r="R183" s="35"/>
      <c r="S183" s="35"/>
      <c r="T183" s="35"/>
      <c r="U183" s="35"/>
      <c r="V183" s="35"/>
      <c r="W183" s="35"/>
      <c r="X183" s="487"/>
      <c r="Y183" s="35"/>
    </row>
    <row r="184" spans="1:25">
      <c r="A184" s="4"/>
      <c r="B184" s="4"/>
      <c r="C184" s="4"/>
      <c r="D184" s="42" t="s">
        <v>10</v>
      </c>
      <c r="E184" s="8"/>
      <c r="F184" s="13"/>
      <c r="G184" s="8"/>
      <c r="H184" s="8"/>
      <c r="I184" s="41"/>
      <c r="J184" s="7"/>
      <c r="K184" s="13"/>
      <c r="L184" s="13"/>
      <c r="Y184" s="33"/>
    </row>
    <row r="185" spans="1:25">
      <c r="A185" s="4"/>
      <c r="B185" s="4"/>
      <c r="C185" s="4"/>
      <c r="D185" s="44" t="s">
        <v>160</v>
      </c>
      <c r="E185" s="8"/>
      <c r="F185" s="13"/>
      <c r="G185" s="8"/>
      <c r="H185" s="8"/>
      <c r="I185" s="41"/>
      <c r="J185" s="7"/>
      <c r="K185" s="13"/>
      <c r="L185" s="13"/>
      <c r="M185" s="13"/>
      <c r="N185" s="480"/>
      <c r="O185" s="33"/>
      <c r="P185" s="33"/>
      <c r="Q185" s="33"/>
      <c r="R185" s="33"/>
      <c r="S185" s="33"/>
      <c r="T185" s="33"/>
      <c r="U185" s="33"/>
      <c r="V185" s="33"/>
      <c r="W185" s="33"/>
      <c r="X185" s="480"/>
      <c r="Y185" s="33"/>
    </row>
    <row r="186" spans="1:25">
      <c r="A186" s="4"/>
      <c r="B186" s="4"/>
      <c r="C186" s="4"/>
      <c r="D186" s="76" t="s">
        <v>156</v>
      </c>
      <c r="E186" s="8"/>
      <c r="F186" s="13"/>
      <c r="G186" s="8"/>
      <c r="H186" s="8"/>
      <c r="I186" s="41"/>
      <c r="J186" s="7"/>
      <c r="K186" s="13"/>
      <c r="L186" s="13"/>
      <c r="M186" s="13"/>
      <c r="N186" s="480"/>
      <c r="O186" s="337">
        <f>O59</f>
        <v>3.21426875</v>
      </c>
      <c r="P186" s="337">
        <f t="shared" ref="P186:Y186" si="66">P59</f>
        <v>5.7542283749999994</v>
      </c>
      <c r="Q186" s="337">
        <f t="shared" si="66"/>
        <v>5.9879499664114864</v>
      </c>
      <c r="R186" s="337">
        <f t="shared" si="66"/>
        <v>6.1106774183858237</v>
      </c>
      <c r="S186" s="337">
        <f t="shared" si="66"/>
        <v>6.295889511706406</v>
      </c>
      <c r="T186" s="337">
        <f t="shared" si="66"/>
        <v>6.5010709282031698</v>
      </c>
      <c r="U186" s="337">
        <f t="shared" si="66"/>
        <v>6.7100076672807436</v>
      </c>
      <c r="V186" s="337">
        <f t="shared" si="66"/>
        <v>6.9657013192014023</v>
      </c>
      <c r="W186" s="337">
        <f t="shared" si="66"/>
        <v>7.1950805953961963</v>
      </c>
      <c r="X186" s="337">
        <f t="shared" si="66"/>
        <v>7.5474017824321313</v>
      </c>
      <c r="Y186" s="337">
        <f t="shared" si="66"/>
        <v>45.886371619611616</v>
      </c>
    </row>
    <row r="187" spans="1:25">
      <c r="A187" s="4"/>
      <c r="B187" s="4"/>
      <c r="C187" s="4"/>
      <c r="D187" s="76"/>
      <c r="E187" s="8"/>
      <c r="F187" s="13"/>
      <c r="G187" s="8"/>
      <c r="H187" s="8"/>
      <c r="I187" s="41"/>
      <c r="J187" s="7"/>
      <c r="K187" s="13"/>
      <c r="L187" s="13"/>
      <c r="M187" s="13"/>
      <c r="P187" s="33"/>
      <c r="Q187" s="33"/>
      <c r="R187" s="589"/>
      <c r="S187" s="589"/>
      <c r="T187" s="589"/>
      <c r="U187" s="589"/>
      <c r="V187" s="33"/>
      <c r="W187" s="33"/>
      <c r="X187" s="480"/>
      <c r="Y187" s="33"/>
    </row>
    <row r="188" spans="1:25">
      <c r="A188" s="4"/>
      <c r="B188" s="4"/>
      <c r="C188" s="4"/>
      <c r="D188" s="76" t="s">
        <v>216</v>
      </c>
      <c r="E188" s="8"/>
      <c r="F188" s="13"/>
      <c r="G188" s="8"/>
      <c r="H188" s="8"/>
      <c r="I188" s="41"/>
      <c r="J188" s="7"/>
      <c r="K188" s="13"/>
      <c r="L188" s="13"/>
      <c r="M188" s="653"/>
      <c r="N188" s="595"/>
      <c r="O188" s="537">
        <v>12.28</v>
      </c>
      <c r="P188" s="537">
        <v>14.38499</v>
      </c>
      <c r="Q188" s="658">
        <f>'FY 15 price breakdown'!E50</f>
        <v>16.865682028974646</v>
      </c>
      <c r="R188" s="537">
        <v>19.044289267949296</v>
      </c>
      <c r="S188" s="669">
        <f>R188*(1+S189)</f>
        <v>19.444219342576229</v>
      </c>
      <c r="T188" s="337">
        <f t="shared" ref="T188:Y188" si="67">S188*(1+T189)</f>
        <v>19.930324826140634</v>
      </c>
      <c r="U188" s="337">
        <f t="shared" si="67"/>
        <v>20.428582946794148</v>
      </c>
      <c r="V188" s="337">
        <f t="shared" si="67"/>
        <v>20.939297520463999</v>
      </c>
      <c r="W188" s="337">
        <f t="shared" si="67"/>
        <v>21.462779958475597</v>
      </c>
      <c r="X188" s="481">
        <f t="shared" si="67"/>
        <v>21.999349457437486</v>
      </c>
      <c r="Y188" s="337">
        <f t="shared" si="67"/>
        <v>22.549333193873419</v>
      </c>
    </row>
    <row r="189" spans="1:25">
      <c r="A189" s="4"/>
      <c r="B189" s="4"/>
      <c r="C189" s="4"/>
      <c r="D189" s="76" t="s">
        <v>202</v>
      </c>
      <c r="E189" s="8"/>
      <c r="F189" s="13"/>
      <c r="G189" s="8"/>
      <c r="H189" s="8"/>
      <c r="I189" s="41"/>
      <c r="J189" s="7"/>
      <c r="K189" s="13"/>
      <c r="L189" s="13"/>
      <c r="M189" s="13"/>
      <c r="N189" s="480"/>
      <c r="O189" s="33"/>
      <c r="P189" s="30"/>
      <c r="Q189" s="30">
        <f>'Volume &amp; CPI forecast'!Q13</f>
        <v>2.1000000000000001E-2</v>
      </c>
      <c r="R189" s="30">
        <f>'Volume &amp; CPI forecast'!R13</f>
        <v>2.1000000000000001E-2</v>
      </c>
      <c r="S189" s="30">
        <f>'Volume &amp; CPI forecast'!S13</f>
        <v>2.1000000000000001E-2</v>
      </c>
      <c r="T189" s="30">
        <f>'Volume &amp; CPI forecast'!T13</f>
        <v>2.5000000000000001E-2</v>
      </c>
      <c r="U189" s="30">
        <f>'Volume &amp; CPI forecast'!U13</f>
        <v>2.5000000000000001E-2</v>
      </c>
      <c r="V189" s="30">
        <f>'Volume &amp; CPI forecast'!V13</f>
        <v>2.5000000000000001E-2</v>
      </c>
      <c r="W189" s="30">
        <f>'Volume &amp; CPI forecast'!W13</f>
        <v>2.5000000000000001E-2</v>
      </c>
      <c r="X189" s="485">
        <f>'Volume &amp; CPI forecast'!X13</f>
        <v>2.5000000000000001E-2</v>
      </c>
      <c r="Y189" s="30">
        <f>'Volume &amp; CPI forecast'!Y13</f>
        <v>2.5000000000000001E-2</v>
      </c>
    </row>
    <row r="190" spans="1:25">
      <c r="A190" s="4"/>
      <c r="B190" s="4"/>
      <c r="C190" s="4"/>
      <c r="D190" s="69" t="s">
        <v>152</v>
      </c>
      <c r="E190" s="8"/>
      <c r="F190" s="13"/>
      <c r="G190" s="8"/>
      <c r="H190" s="8"/>
      <c r="I190" s="41"/>
      <c r="J190" s="7"/>
      <c r="K190" s="13"/>
      <c r="L190" s="13"/>
      <c r="M190" s="13"/>
      <c r="N190" s="480"/>
      <c r="O190" s="654">
        <f t="shared" ref="O190:Y190" si="68">O15</f>
        <v>0.81836846702243604</v>
      </c>
      <c r="P190" s="654">
        <f t="shared" si="68"/>
        <v>1.4286495960384618</v>
      </c>
      <c r="Q190" s="654">
        <f t="shared" si="68"/>
        <v>1.4544642697884618</v>
      </c>
      <c r="R190" s="654">
        <f t="shared" si="68"/>
        <v>1.4856507394038465</v>
      </c>
      <c r="S190" s="654">
        <f t="shared" si="68"/>
        <v>1.5009352052884619</v>
      </c>
      <c r="T190" s="654">
        <f t="shared" si="68"/>
        <v>1.5215821837884618</v>
      </c>
      <c r="U190" s="654">
        <f t="shared" si="68"/>
        <v>1.5365820070384619</v>
      </c>
      <c r="V190" s="654">
        <f t="shared" si="68"/>
        <v>1.5652640666346156</v>
      </c>
      <c r="W190" s="654">
        <f t="shared" si="68"/>
        <v>1.580497097788462</v>
      </c>
      <c r="X190" s="655">
        <f t="shared" si="68"/>
        <v>1.6240856462988991</v>
      </c>
      <c r="Y190" s="654">
        <f t="shared" si="68"/>
        <v>9.701666423416297</v>
      </c>
    </row>
    <row r="191" spans="1:25">
      <c r="A191" s="4"/>
      <c r="B191" s="4"/>
      <c r="C191" s="4"/>
      <c r="D191" s="76" t="s">
        <v>158</v>
      </c>
      <c r="E191" s="8"/>
      <c r="F191" s="13"/>
      <c r="G191" s="8"/>
      <c r="H191" s="8"/>
      <c r="I191" s="41"/>
      <c r="J191" s="7"/>
      <c r="K191" s="13"/>
      <c r="L191" s="13"/>
      <c r="M191" s="13"/>
      <c r="N191" s="480"/>
      <c r="O191" s="322">
        <f t="shared" ref="O191:Y191" si="69">O188*O190</f>
        <v>10.049564775035513</v>
      </c>
      <c r="P191" s="322">
        <f t="shared" si="69"/>
        <v>20.551110152517314</v>
      </c>
      <c r="Q191" s="322">
        <f t="shared" si="69"/>
        <v>24.53053189675699</v>
      </c>
      <c r="R191" s="322">
        <f t="shared" si="69"/>
        <v>28.293162432349611</v>
      </c>
      <c r="S191" s="322">
        <f t="shared" si="69"/>
        <v>29.184513350623533</v>
      </c>
      <c r="T191" s="322">
        <f t="shared" si="69"/>
        <v>30.32562717257246</v>
      </c>
      <c r="U191" s="322">
        <f t="shared" si="69"/>
        <v>31.390192985336647</v>
      </c>
      <c r="V191" s="322">
        <f t="shared" si="69"/>
        <v>32.775529989353601</v>
      </c>
      <c r="W191" s="322">
        <f t="shared" si="69"/>
        <v>33.921861434843052</v>
      </c>
      <c r="X191" s="402">
        <f t="shared" si="69"/>
        <v>35.728827681737691</v>
      </c>
      <c r="Y191" s="322">
        <f t="shared" si="69"/>
        <v>218.76610871742832</v>
      </c>
    </row>
    <row r="192" spans="1:25">
      <c r="A192" s="4"/>
      <c r="B192" s="4"/>
      <c r="C192" s="4"/>
      <c r="D192" s="76" t="s">
        <v>196</v>
      </c>
      <c r="E192" s="8"/>
      <c r="F192" s="13"/>
      <c r="G192" s="8"/>
      <c r="H192" s="8"/>
      <c r="I192" s="41"/>
      <c r="J192" s="7"/>
      <c r="K192" s="13"/>
      <c r="L192" s="13"/>
      <c r="M192" s="13"/>
      <c r="N192" s="480"/>
      <c r="O192" s="27">
        <f t="shared" ref="O192:Y192" si="70">O107</f>
        <v>13.128222479041115</v>
      </c>
      <c r="P192" s="27">
        <f t="shared" si="70"/>
        <v>23.399603891909525</v>
      </c>
      <c r="Q192" s="27">
        <f t="shared" si="70"/>
        <v>24.322688731994454</v>
      </c>
      <c r="R192" s="27">
        <f t="shared" si="70"/>
        <v>25.365941739374286</v>
      </c>
      <c r="S192" s="27">
        <f t="shared" si="70"/>
        <v>26.165073173208722</v>
      </c>
      <c r="T192" s="27">
        <f t="shared" si="70"/>
        <v>27.188126951476214</v>
      </c>
      <c r="U192" s="27">
        <f t="shared" si="70"/>
        <v>28.142552404935977</v>
      </c>
      <c r="V192" s="27">
        <f t="shared" si="70"/>
        <v>29.384561947606073</v>
      </c>
      <c r="W192" s="27">
        <f t="shared" si="70"/>
        <v>30.412293532218595</v>
      </c>
      <c r="X192" s="483">
        <f t="shared" si="70"/>
        <v>32.032310405671325</v>
      </c>
      <c r="Y192" s="27">
        <f t="shared" si="70"/>
        <v>196.13248895539152</v>
      </c>
    </row>
    <row r="193" spans="1:25">
      <c r="A193" s="4"/>
      <c r="B193" s="4"/>
      <c r="C193" s="4"/>
      <c r="D193" s="29" t="s">
        <v>197</v>
      </c>
      <c r="E193" s="8"/>
      <c r="F193" s="13"/>
      <c r="G193" s="8"/>
      <c r="H193" s="8"/>
      <c r="I193" s="13"/>
      <c r="J193" s="7"/>
      <c r="K193" s="13"/>
      <c r="L193" s="13"/>
      <c r="M193" s="13"/>
      <c r="N193" s="483"/>
      <c r="O193" s="27">
        <f>O191-O192</f>
        <v>-3.078657704005602</v>
      </c>
      <c r="P193" s="27">
        <f t="shared" ref="P193:Y193" si="71">P191-P192</f>
        <v>-2.848493739392211</v>
      </c>
      <c r="Q193" s="27">
        <f t="shared" si="71"/>
        <v>0.2078431647625365</v>
      </c>
      <c r="R193" s="27">
        <f t="shared" si="71"/>
        <v>2.9272206929753253</v>
      </c>
      <c r="S193" s="27">
        <f t="shared" si="71"/>
        <v>3.0194401774148112</v>
      </c>
      <c r="T193" s="27">
        <f t="shared" si="71"/>
        <v>3.1375002210962464</v>
      </c>
      <c r="U193" s="27">
        <f t="shared" si="71"/>
        <v>3.2476405804006703</v>
      </c>
      <c r="V193" s="27">
        <f t="shared" si="71"/>
        <v>3.3909680417475272</v>
      </c>
      <c r="W193" s="27">
        <f t="shared" si="71"/>
        <v>3.5095679026244575</v>
      </c>
      <c r="X193" s="483">
        <f t="shared" si="71"/>
        <v>3.6965172760663663</v>
      </c>
      <c r="Y193" s="27">
        <f t="shared" si="71"/>
        <v>22.633619762036801</v>
      </c>
    </row>
    <row r="194" spans="1:25" hidden="1" outlineLevel="1">
      <c r="A194" s="4"/>
      <c r="B194" s="4"/>
      <c r="C194" s="4"/>
      <c r="D194" s="29" t="s">
        <v>4</v>
      </c>
      <c r="E194" s="8"/>
      <c r="F194" s="13"/>
      <c r="G194" s="8"/>
      <c r="H194" s="8"/>
      <c r="I194" s="13"/>
      <c r="J194" s="7"/>
      <c r="K194" s="13"/>
      <c r="L194" s="13"/>
      <c r="M194" s="13"/>
      <c r="N194" s="484"/>
      <c r="O194" s="31">
        <f>WACC!O37</f>
        <v>0.5</v>
      </c>
      <c r="P194" s="31">
        <f>WACC!P37</f>
        <v>1.5</v>
      </c>
      <c r="Q194" s="31">
        <f>WACC!Q37</f>
        <v>2.5</v>
      </c>
      <c r="R194" s="31">
        <f>WACC!R37</f>
        <v>3.5</v>
      </c>
      <c r="S194" s="31">
        <f>WACC!S37</f>
        <v>4.5</v>
      </c>
      <c r="T194" s="31">
        <f>WACC!T37</f>
        <v>5.5</v>
      </c>
      <c r="U194" s="31">
        <f>WACC!U37</f>
        <v>6.5</v>
      </c>
      <c r="V194" s="31">
        <f>WACC!V37</f>
        <v>7.5</v>
      </c>
      <c r="W194" s="31">
        <f>WACC!W37</f>
        <v>8.5</v>
      </c>
      <c r="X194" s="484">
        <f>WACC!X37</f>
        <v>9.5</v>
      </c>
      <c r="Y194" s="31">
        <f>WACC!Y37</f>
        <v>10.5</v>
      </c>
    </row>
    <row r="195" spans="1:25" hidden="1" outlineLevel="1">
      <c r="A195" s="4"/>
      <c r="B195" s="4"/>
      <c r="C195" s="4"/>
      <c r="D195" s="29" t="s">
        <v>3</v>
      </c>
      <c r="E195" s="8"/>
      <c r="F195" s="13"/>
      <c r="G195" s="8"/>
      <c r="H195" s="8"/>
      <c r="I195" s="13"/>
      <c r="J195" s="7"/>
      <c r="K195" s="13"/>
      <c r="L195" s="13"/>
      <c r="M195" s="13"/>
      <c r="N195" s="513"/>
      <c r="O195" s="30">
        <f>WACC!O32</f>
        <v>0.13554266666666667</v>
      </c>
      <c r="P195" s="30">
        <f>WACC!P32</f>
        <v>0.13554266666666667</v>
      </c>
      <c r="Q195" s="30">
        <f>WACC!Q32</f>
        <v>0.13554266666666667</v>
      </c>
      <c r="R195" s="30">
        <f>WACC!R32</f>
        <v>0.13554266666666667</v>
      </c>
      <c r="S195" s="30">
        <f>WACC!S32</f>
        <v>0.13554266666666667</v>
      </c>
      <c r="T195" s="30">
        <f>WACC!T32</f>
        <v>0.13554266666666667</v>
      </c>
      <c r="U195" s="30">
        <f>WACC!U32</f>
        <v>0.13554266666666667</v>
      </c>
      <c r="V195" s="30">
        <f>WACC!V32</f>
        <v>0.13554266666666667</v>
      </c>
      <c r="W195" s="30">
        <f>WACC!W32</f>
        <v>0.13554266666666667</v>
      </c>
      <c r="X195" s="485">
        <f>WACC!X32</f>
        <v>0.13554266666666667</v>
      </c>
      <c r="Y195" s="30">
        <f>WACC!Y32</f>
        <v>0.13554266666666667</v>
      </c>
    </row>
    <row r="196" spans="1:25" hidden="1" outlineLevel="1">
      <c r="A196" s="4"/>
      <c r="B196" s="4"/>
      <c r="C196" s="4"/>
      <c r="D196" s="29" t="s">
        <v>2</v>
      </c>
      <c r="E196" s="8"/>
      <c r="F196" s="13"/>
      <c r="G196" s="8"/>
      <c r="H196" s="8"/>
      <c r="I196" s="13"/>
      <c r="J196" s="7"/>
      <c r="K196" s="13"/>
      <c r="L196" s="13"/>
      <c r="M196" s="13"/>
      <c r="N196" s="513"/>
      <c r="O196" s="448">
        <f>O193/(1+O195)^O194</f>
        <v>-2.8890807243522683</v>
      </c>
      <c r="P196" s="448">
        <f t="shared" ref="P196:Y196" si="72">P193/(1+P195)^P194</f>
        <v>-2.3540196503665114</v>
      </c>
      <c r="Q196" s="448">
        <f t="shared" si="72"/>
        <v>0.151261047720016</v>
      </c>
      <c r="R196" s="448">
        <f t="shared" si="72"/>
        <v>1.8760455001805658</v>
      </c>
      <c r="S196" s="448">
        <f t="shared" si="72"/>
        <v>1.7041619851898047</v>
      </c>
      <c r="T196" s="448">
        <f t="shared" si="72"/>
        <v>1.5594259316121</v>
      </c>
      <c r="U196" s="448">
        <f t="shared" si="72"/>
        <v>1.421495499957133</v>
      </c>
      <c r="V196" s="448">
        <f t="shared" si="72"/>
        <v>1.3070667579239124</v>
      </c>
      <c r="W196" s="448">
        <f t="shared" si="72"/>
        <v>1.191308568121846</v>
      </c>
      <c r="X196" s="502">
        <f t="shared" si="72"/>
        <v>1.1049939472568409</v>
      </c>
      <c r="Y196" s="448">
        <f t="shared" si="72"/>
        <v>5.9582362235455779</v>
      </c>
    </row>
    <row r="197" spans="1:25" collapsed="1">
      <c r="A197" s="4"/>
      <c r="B197" s="4"/>
      <c r="C197" s="4"/>
      <c r="D197" s="26" t="s">
        <v>1</v>
      </c>
      <c r="E197" s="25"/>
      <c r="F197" s="23"/>
      <c r="G197" s="25"/>
      <c r="H197" s="25"/>
      <c r="I197" s="23"/>
      <c r="J197" s="24"/>
      <c r="K197" s="23"/>
      <c r="L197" s="23"/>
      <c r="M197" s="23"/>
      <c r="N197" s="516">
        <f>SUM(O196:S196)</f>
        <v>-1.5116318416283929</v>
      </c>
      <c r="O197" s="35"/>
      <c r="P197" s="35"/>
      <c r="Q197" s="35"/>
      <c r="R197" s="35"/>
      <c r="S197" s="35"/>
      <c r="T197" s="35"/>
      <c r="U197" s="35"/>
      <c r="V197" s="35"/>
      <c r="W197" s="35"/>
      <c r="X197" s="487"/>
      <c r="Y197" s="35"/>
    </row>
    <row r="198" spans="1:25">
      <c r="A198" s="4"/>
      <c r="B198" s="4"/>
      <c r="C198" s="4"/>
      <c r="D198" s="76"/>
      <c r="E198" s="8"/>
      <c r="F198" s="13"/>
      <c r="G198" s="8"/>
      <c r="H198" s="8"/>
      <c r="I198" s="41"/>
      <c r="J198" s="7"/>
      <c r="K198" s="13"/>
      <c r="L198" s="13"/>
      <c r="M198" s="13"/>
      <c r="P198" s="33"/>
      <c r="Q198" s="33"/>
      <c r="R198" s="33"/>
      <c r="S198" s="33"/>
      <c r="T198" s="33"/>
      <c r="U198" s="33"/>
      <c r="V198" s="33"/>
      <c r="W198" s="33"/>
      <c r="X198" s="480"/>
      <c r="Y198" s="33"/>
    </row>
    <row r="199" spans="1:25">
      <c r="A199" s="4"/>
      <c r="B199" s="4"/>
      <c r="C199" s="4"/>
      <c r="D199" s="76" t="s">
        <v>217</v>
      </c>
      <c r="E199" s="8"/>
      <c r="F199" s="13"/>
      <c r="G199" s="8"/>
      <c r="H199" s="8"/>
      <c r="I199" s="41"/>
      <c r="J199" s="7"/>
      <c r="K199" s="13"/>
      <c r="L199" s="13"/>
      <c r="M199" s="653"/>
      <c r="N199" s="595"/>
      <c r="O199" s="537">
        <v>7.76</v>
      </c>
      <c r="P199" s="537">
        <v>8.7240000000000002</v>
      </c>
      <c r="Q199" s="658">
        <f>'FY 15 price breakdown'!E66</f>
        <v>10.228454105339999</v>
      </c>
      <c r="R199" s="537">
        <v>11.549704210679998</v>
      </c>
      <c r="S199" s="669">
        <f>R199*(1+S200)</f>
        <v>11.792247999104276</v>
      </c>
      <c r="T199" s="337">
        <f t="shared" ref="T199:Y199" si="73">S199*(1+T200)</f>
        <v>12.087054199081882</v>
      </c>
      <c r="U199" s="337">
        <f t="shared" si="73"/>
        <v>12.389230554058928</v>
      </c>
      <c r="V199" s="337">
        <f t="shared" si="73"/>
        <v>12.698961317910401</v>
      </c>
      <c r="W199" s="337">
        <f t="shared" si="73"/>
        <v>13.01643535085816</v>
      </c>
      <c r="X199" s="337">
        <f t="shared" si="73"/>
        <v>13.341846234629612</v>
      </c>
      <c r="Y199" s="337">
        <f t="shared" si="73"/>
        <v>13.675392390495352</v>
      </c>
    </row>
    <row r="200" spans="1:25">
      <c r="A200" s="4"/>
      <c r="B200" s="4"/>
      <c r="C200" s="4"/>
      <c r="D200" s="76" t="s">
        <v>202</v>
      </c>
      <c r="E200" s="8"/>
      <c r="F200" s="13"/>
      <c r="G200" s="8"/>
      <c r="H200" s="8"/>
      <c r="I200" s="41"/>
      <c r="J200" s="7"/>
      <c r="K200" s="13"/>
      <c r="L200" s="13"/>
      <c r="M200" s="13"/>
      <c r="N200" s="480"/>
      <c r="O200" s="33"/>
      <c r="P200" s="30"/>
      <c r="Q200" s="30">
        <f>'Volume &amp; CPI forecast'!Q13</f>
        <v>2.1000000000000001E-2</v>
      </c>
      <c r="R200" s="30">
        <f>'Volume &amp; CPI forecast'!R13</f>
        <v>2.1000000000000001E-2</v>
      </c>
      <c r="S200" s="30">
        <f>'Volume &amp; CPI forecast'!S13</f>
        <v>2.1000000000000001E-2</v>
      </c>
      <c r="T200" s="30">
        <f>'Volume &amp; CPI forecast'!T13</f>
        <v>2.5000000000000001E-2</v>
      </c>
      <c r="U200" s="30">
        <f>'Volume &amp; CPI forecast'!U13</f>
        <v>2.5000000000000001E-2</v>
      </c>
      <c r="V200" s="30">
        <f>'Volume &amp; CPI forecast'!V13</f>
        <v>2.5000000000000001E-2</v>
      </c>
      <c r="W200" s="30">
        <f>'Volume &amp; CPI forecast'!W13</f>
        <v>2.5000000000000001E-2</v>
      </c>
      <c r="X200" s="485">
        <f>'Volume &amp; CPI forecast'!X13</f>
        <v>2.5000000000000001E-2</v>
      </c>
      <c r="Y200" s="30">
        <f>'Volume &amp; CPI forecast'!Y13</f>
        <v>2.5000000000000001E-2</v>
      </c>
    </row>
    <row r="201" spans="1:25">
      <c r="A201" s="4"/>
      <c r="B201" s="4"/>
      <c r="C201" s="4"/>
      <c r="D201" s="69" t="s">
        <v>153</v>
      </c>
      <c r="E201" s="8"/>
      <c r="F201" s="13"/>
      <c r="G201" s="8"/>
      <c r="H201" s="8"/>
      <c r="I201" s="41"/>
      <c r="J201" s="7"/>
      <c r="K201" s="13"/>
      <c r="L201" s="13"/>
      <c r="M201" s="13"/>
      <c r="N201" s="480"/>
      <c r="O201" s="654">
        <f t="shared" ref="O201:Y201" si="74">O67</f>
        <v>0.23949986900000039</v>
      </c>
      <c r="P201" s="654">
        <f t="shared" si="74"/>
        <v>0.43600226900000061</v>
      </c>
      <c r="Q201" s="654">
        <f t="shared" si="74"/>
        <v>0.43652583400000061</v>
      </c>
      <c r="R201" s="654">
        <f t="shared" si="74"/>
        <v>0.43938862400000067</v>
      </c>
      <c r="S201" s="654">
        <f t="shared" si="74"/>
        <v>0.44331222400000064</v>
      </c>
      <c r="T201" s="654">
        <f t="shared" si="74"/>
        <v>0.44637398400000056</v>
      </c>
      <c r="U201" s="654">
        <f t="shared" si="74"/>
        <v>0.45064767400000061</v>
      </c>
      <c r="V201" s="654">
        <f t="shared" si="74"/>
        <v>0.45544868400000066</v>
      </c>
      <c r="W201" s="654">
        <f t="shared" si="74"/>
        <v>0.45789926400000058</v>
      </c>
      <c r="X201" s="655">
        <f t="shared" si="74"/>
        <v>0.4677234037813095</v>
      </c>
      <c r="Y201" s="654">
        <f t="shared" si="74"/>
        <v>2.7563674076523035</v>
      </c>
    </row>
    <row r="202" spans="1:25">
      <c r="A202" s="4"/>
      <c r="B202" s="4"/>
      <c r="C202" s="4"/>
      <c r="D202" s="323" t="s">
        <v>205</v>
      </c>
      <c r="E202" s="324"/>
      <c r="F202" s="325"/>
      <c r="G202" s="324"/>
      <c r="H202" s="324"/>
      <c r="I202" s="326"/>
      <c r="J202" s="327"/>
      <c r="K202" s="325"/>
      <c r="L202" s="325"/>
      <c r="M202" s="325"/>
      <c r="N202" s="523"/>
      <c r="O202" s="322">
        <f t="shared" ref="O202:Y202" si="75">O199*O201</f>
        <v>1.8585189834400031</v>
      </c>
      <c r="P202" s="322">
        <f t="shared" si="75"/>
        <v>3.8036837947560054</v>
      </c>
      <c r="Q202" s="322">
        <f t="shared" si="75"/>
        <v>4.4649844588642731</v>
      </c>
      <c r="R202" s="322">
        <f t="shared" si="75"/>
        <v>5.0748086407376984</v>
      </c>
      <c r="S202" s="322">
        <f t="shared" si="75"/>
        <v>5.2276476864424746</v>
      </c>
      <c r="T202" s="322">
        <f t="shared" si="75"/>
        <v>5.3953465376681153</v>
      </c>
      <c r="U202" s="322">
        <f t="shared" si="75"/>
        <v>5.5831779318363948</v>
      </c>
      <c r="V202" s="322">
        <f t="shared" si="75"/>
        <v>5.783725220409206</v>
      </c>
      <c r="W202" s="322">
        <f t="shared" si="75"/>
        <v>5.9602161670615406</v>
      </c>
      <c r="X202" s="402">
        <f t="shared" si="75"/>
        <v>6.2402937335878095</v>
      </c>
      <c r="Y202" s="401">
        <f t="shared" si="75"/>
        <v>37.694405872017711</v>
      </c>
    </row>
    <row r="203" spans="1:25">
      <c r="A203" s="4"/>
      <c r="B203" s="4"/>
      <c r="C203" s="4"/>
      <c r="D203" s="29" t="s">
        <v>196</v>
      </c>
      <c r="E203" s="8"/>
      <c r="F203" s="13"/>
      <c r="G203" s="8"/>
      <c r="H203" s="8"/>
      <c r="I203" s="13"/>
      <c r="J203" s="7"/>
      <c r="K203" s="13"/>
      <c r="L203" s="13"/>
      <c r="M203" s="13"/>
      <c r="N203" s="308"/>
      <c r="O203" s="525">
        <f t="shared" ref="O203:Y203" si="76">O123</f>
        <v>2.4318525333894501</v>
      </c>
      <c r="P203" s="525">
        <f t="shared" si="76"/>
        <v>4.520083391370262</v>
      </c>
      <c r="Q203" s="525">
        <f t="shared" si="76"/>
        <v>4.6205469833987678</v>
      </c>
      <c r="R203" s="525">
        <f t="shared" si="76"/>
        <v>4.7485169287079518</v>
      </c>
      <c r="S203" s="525">
        <f t="shared" si="76"/>
        <v>4.8915289804473447</v>
      </c>
      <c r="T203" s="525">
        <f t="shared" si="76"/>
        <v>5.0484454063352926</v>
      </c>
      <c r="U203" s="525">
        <f t="shared" si="76"/>
        <v>5.224199925981817</v>
      </c>
      <c r="V203" s="525">
        <f t="shared" si="76"/>
        <v>5.4118527543367483</v>
      </c>
      <c r="W203" s="525">
        <f t="shared" si="76"/>
        <v>5.5769959759381997</v>
      </c>
      <c r="X203" s="525">
        <f t="shared" si="76"/>
        <v>5.8390655750409524</v>
      </c>
      <c r="Y203" s="32">
        <f t="shared" si="76"/>
        <v>35.270792865767113</v>
      </c>
    </row>
    <row r="204" spans="1:25">
      <c r="A204" s="4"/>
      <c r="B204" s="4"/>
      <c r="C204" s="4"/>
      <c r="D204" s="29" t="s">
        <v>197</v>
      </c>
      <c r="E204" s="8"/>
      <c r="F204" s="13"/>
      <c r="G204" s="8"/>
      <c r="H204" s="8"/>
      <c r="I204" s="13"/>
      <c r="J204" s="7"/>
      <c r="K204" s="13"/>
      <c r="L204" s="13"/>
      <c r="M204" s="13"/>
      <c r="N204" s="483"/>
      <c r="O204" s="27">
        <f>O202-O203</f>
        <v>-0.57333354994944696</v>
      </c>
      <c r="P204" s="27">
        <f t="shared" ref="P204:Y204" si="77">P202-P203</f>
        <v>-0.71639959661425667</v>
      </c>
      <c r="Q204" s="27">
        <f t="shared" si="77"/>
        <v>-0.15556252453449471</v>
      </c>
      <c r="R204" s="27">
        <f t="shared" si="77"/>
        <v>0.32629171202974661</v>
      </c>
      <c r="S204" s="27">
        <f t="shared" si="77"/>
        <v>0.33611870599512983</v>
      </c>
      <c r="T204" s="27">
        <f t="shared" si="77"/>
        <v>0.34690113133282274</v>
      </c>
      <c r="U204" s="27">
        <f t="shared" si="77"/>
        <v>0.35897800585457773</v>
      </c>
      <c r="V204" s="27">
        <f t="shared" si="77"/>
        <v>0.37187246607245772</v>
      </c>
      <c r="W204" s="27">
        <f t="shared" si="77"/>
        <v>0.38322019112334083</v>
      </c>
      <c r="X204" s="27">
        <f t="shared" si="77"/>
        <v>0.40122815854685712</v>
      </c>
      <c r="Y204" s="27">
        <f t="shared" si="77"/>
        <v>2.4236130062505978</v>
      </c>
    </row>
    <row r="205" spans="1:25" hidden="1" outlineLevel="1">
      <c r="A205" s="4"/>
      <c r="B205" s="4"/>
      <c r="C205" s="4"/>
      <c r="D205" s="29" t="s">
        <v>4</v>
      </c>
      <c r="E205" s="8"/>
      <c r="F205" s="13"/>
      <c r="G205" s="8"/>
      <c r="H205" s="8"/>
      <c r="I205" s="13"/>
      <c r="J205" s="7"/>
      <c r="K205" s="13"/>
      <c r="L205" s="13"/>
      <c r="M205" s="13"/>
      <c r="N205" s="484"/>
      <c r="O205" s="31">
        <f>WACC!O37</f>
        <v>0.5</v>
      </c>
      <c r="P205" s="31">
        <f>WACC!P37</f>
        <v>1.5</v>
      </c>
      <c r="Q205" s="31">
        <f>WACC!Q37</f>
        <v>2.5</v>
      </c>
      <c r="R205" s="31">
        <f>WACC!R37</f>
        <v>3.5</v>
      </c>
      <c r="S205" s="31">
        <f>WACC!S37</f>
        <v>4.5</v>
      </c>
      <c r="T205" s="31">
        <f>WACC!T37</f>
        <v>5.5</v>
      </c>
      <c r="U205" s="31">
        <f>WACC!U37</f>
        <v>6.5</v>
      </c>
      <c r="V205" s="31">
        <f>WACC!V37</f>
        <v>7.5</v>
      </c>
      <c r="W205" s="31">
        <f>WACC!W37</f>
        <v>8.5</v>
      </c>
      <c r="X205" s="484">
        <f>WACC!X37</f>
        <v>9.5</v>
      </c>
      <c r="Y205" s="31">
        <f>WACC!Y37</f>
        <v>10.5</v>
      </c>
    </row>
    <row r="206" spans="1:25" hidden="1" outlineLevel="1">
      <c r="A206" s="4"/>
      <c r="B206" s="4"/>
      <c r="C206" s="4"/>
      <c r="D206" s="29" t="s">
        <v>3</v>
      </c>
      <c r="E206" s="8"/>
      <c r="F206" s="13"/>
      <c r="G206" s="8"/>
      <c r="H206" s="8"/>
      <c r="I206" s="13"/>
      <c r="J206" s="7"/>
      <c r="K206" s="13"/>
      <c r="L206" s="13"/>
      <c r="M206" s="13"/>
      <c r="N206" s="513"/>
      <c r="O206" s="30">
        <f>WACC!O32</f>
        <v>0.13554266666666667</v>
      </c>
      <c r="P206" s="30">
        <f>WACC!P32</f>
        <v>0.13554266666666667</v>
      </c>
      <c r="Q206" s="30">
        <f>WACC!Q32</f>
        <v>0.13554266666666667</v>
      </c>
      <c r="R206" s="30">
        <f>WACC!R32</f>
        <v>0.13554266666666667</v>
      </c>
      <c r="S206" s="30">
        <f>WACC!S32</f>
        <v>0.13554266666666667</v>
      </c>
      <c r="T206" s="30">
        <f>WACC!T32</f>
        <v>0.13554266666666667</v>
      </c>
      <c r="U206" s="30">
        <f>WACC!U32</f>
        <v>0.13554266666666667</v>
      </c>
      <c r="V206" s="30">
        <f>WACC!V32</f>
        <v>0.13554266666666667</v>
      </c>
      <c r="W206" s="30">
        <f>WACC!W32</f>
        <v>0.13554266666666667</v>
      </c>
      <c r="X206" s="485">
        <f>WACC!X32</f>
        <v>0.13554266666666667</v>
      </c>
      <c r="Y206" s="30">
        <f>WACC!Y32</f>
        <v>0.13554266666666667</v>
      </c>
    </row>
    <row r="207" spans="1:25" hidden="1" outlineLevel="1">
      <c r="A207" s="4"/>
      <c r="B207" s="4"/>
      <c r="C207" s="4"/>
      <c r="D207" s="29" t="s">
        <v>2</v>
      </c>
      <c r="E207" s="8"/>
      <c r="F207" s="13"/>
      <c r="G207" s="8"/>
      <c r="H207" s="8"/>
      <c r="I207" s="13"/>
      <c r="J207" s="7"/>
      <c r="K207" s="13"/>
      <c r="L207" s="13"/>
      <c r="M207" s="13"/>
      <c r="N207" s="513"/>
      <c r="O207" s="27">
        <f>O204/(1+O206)^O205</f>
        <v>-0.53802892917529477</v>
      </c>
      <c r="P207" s="27">
        <f>P204/(1+P206)^P205</f>
        <v>-0.59203876934075239</v>
      </c>
      <c r="Q207" s="27">
        <f>Q204/(1+Q206)^Q205</f>
        <v>-0.1132130107523253</v>
      </c>
      <c r="R207" s="27">
        <f>R204/(1+R206)^R205</f>
        <v>0.20911921658951563</v>
      </c>
      <c r="S207" s="27">
        <f>S204/(1+S206)^S205</f>
        <v>0.18970427881055427</v>
      </c>
      <c r="T207" s="27">
        <f t="shared" ref="T207:Y207" si="78">T204/(1+T206)^T205</f>
        <v>0.17241962766044497</v>
      </c>
      <c r="U207" s="27">
        <f t="shared" si="78"/>
        <v>0.15712502885492097</v>
      </c>
      <c r="V207" s="27">
        <f t="shared" si="78"/>
        <v>0.14334022987135156</v>
      </c>
      <c r="W207" s="27">
        <f t="shared" si="78"/>
        <v>0.13008253717534038</v>
      </c>
      <c r="X207" s="483">
        <f t="shared" si="78"/>
        <v>0.11993848629731803</v>
      </c>
      <c r="Y207" s="27">
        <f t="shared" si="78"/>
        <v>0.63800925161424593</v>
      </c>
    </row>
    <row r="208" spans="1:25" collapsed="1">
      <c r="A208" s="4"/>
      <c r="B208" s="4"/>
      <c r="C208" s="4"/>
      <c r="D208" s="26" t="s">
        <v>1</v>
      </c>
      <c r="E208" s="25"/>
      <c r="F208" s="23"/>
      <c r="G208" s="25"/>
      <c r="H208" s="25"/>
      <c r="I208" s="23"/>
      <c r="J208" s="24"/>
      <c r="K208" s="23"/>
      <c r="L208" s="23"/>
      <c r="M208" s="23"/>
      <c r="N208" s="516">
        <f>SUM(O207:S207)</f>
        <v>-0.84445721386830241</v>
      </c>
      <c r="O208" s="22"/>
      <c r="P208" s="22"/>
      <c r="Q208" s="22"/>
      <c r="R208" s="22"/>
      <c r="S208" s="22"/>
      <c r="T208" s="22"/>
      <c r="U208" s="22"/>
      <c r="V208" s="22"/>
      <c r="W208" s="22"/>
      <c r="X208" s="486"/>
      <c r="Y208" s="22"/>
    </row>
    <row r="209" spans="1:26">
      <c r="A209" s="4"/>
      <c r="B209" s="4"/>
      <c r="C209" s="4"/>
      <c r="D209" s="8"/>
      <c r="E209" s="8"/>
      <c r="F209" s="13"/>
      <c r="G209" s="8"/>
      <c r="H209" s="8"/>
      <c r="I209" s="13"/>
      <c r="J209" s="7"/>
      <c r="K209" s="13"/>
      <c r="L209" s="13"/>
      <c r="M209" s="13"/>
      <c r="N209" s="516">
        <f>N197+N208</f>
        <v>-2.3560890554966951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487"/>
      <c r="Y209" s="35"/>
    </row>
    <row r="210" spans="1:26">
      <c r="A210" s="4"/>
      <c r="B210" s="4"/>
      <c r="C210" s="4"/>
      <c r="D210" s="9"/>
      <c r="E210" s="8"/>
      <c r="F210" s="7"/>
      <c r="G210" s="9"/>
      <c r="H210" s="8"/>
      <c r="I210" s="7"/>
      <c r="J210" s="7"/>
      <c r="K210" s="7"/>
      <c r="L210" s="7"/>
      <c r="M210" s="7"/>
      <c r="N210" s="591"/>
      <c r="O210" s="35"/>
      <c r="P210" s="35"/>
      <c r="Q210" s="35"/>
      <c r="R210" s="35"/>
      <c r="S210" s="35"/>
      <c r="T210" s="35"/>
      <c r="U210" s="35"/>
      <c r="V210" s="35"/>
      <c r="W210" s="35"/>
      <c r="X210" s="487"/>
      <c r="Y210" s="35"/>
    </row>
    <row r="211" spans="1:26">
      <c r="A211" s="4"/>
      <c r="B211" s="4"/>
      <c r="C211" s="4"/>
      <c r="D211" s="34" t="s">
        <v>9</v>
      </c>
      <c r="E211" s="8"/>
      <c r="F211" s="13"/>
      <c r="G211" s="8"/>
      <c r="H211" s="8"/>
      <c r="I211" s="13"/>
      <c r="J211" s="7"/>
      <c r="K211" s="13"/>
      <c r="L211" s="13"/>
      <c r="M211" s="13" t="s">
        <v>6</v>
      </c>
      <c r="N211" s="593"/>
      <c r="O211" s="537">
        <v>3.53</v>
      </c>
      <c r="P211" s="337">
        <f t="shared" ref="P211:Y211" si="79">O211*(1+P212)</f>
        <v>3.53</v>
      </c>
      <c r="Q211" s="337">
        <f>P211*(1+N211)</f>
        <v>3.53</v>
      </c>
      <c r="R211" s="337">
        <f t="shared" si="79"/>
        <v>3.53</v>
      </c>
      <c r="S211" s="337">
        <f>R211*(1+S212)</f>
        <v>3.53</v>
      </c>
      <c r="T211" s="337">
        <f t="shared" si="79"/>
        <v>3.6182499999999993</v>
      </c>
      <c r="U211" s="337">
        <f t="shared" si="79"/>
        <v>3.7087062499999988</v>
      </c>
      <c r="V211" s="337">
        <f t="shared" si="79"/>
        <v>3.8014239062499984</v>
      </c>
      <c r="W211" s="337">
        <f t="shared" si="79"/>
        <v>3.896459503906248</v>
      </c>
      <c r="X211" s="481">
        <f t="shared" si="79"/>
        <v>3.9938709915039037</v>
      </c>
      <c r="Y211" s="337">
        <f t="shared" si="79"/>
        <v>4.0937177662915012</v>
      </c>
      <c r="Z211" s="40"/>
    </row>
    <row r="212" spans="1:26">
      <c r="A212" s="4"/>
      <c r="B212" s="4"/>
      <c r="C212" s="4"/>
      <c r="D212" s="76" t="s">
        <v>202</v>
      </c>
      <c r="E212" s="8"/>
      <c r="F212" s="13"/>
      <c r="G212" s="8"/>
      <c r="H212" s="8"/>
      <c r="I212" s="41"/>
      <c r="J212" s="7"/>
      <c r="K212" s="13"/>
      <c r="L212" s="13"/>
      <c r="M212" s="13"/>
      <c r="N212" s="480"/>
      <c r="O212" s="33"/>
      <c r="P212" s="338"/>
      <c r="Q212" s="338"/>
      <c r="R212" s="30"/>
      <c r="S212" s="30"/>
      <c r="T212" s="30">
        <f>'Volume &amp; CPI forecast'!T13</f>
        <v>2.5000000000000001E-2</v>
      </c>
      <c r="U212" s="30">
        <f>'Volume &amp; CPI forecast'!U13</f>
        <v>2.5000000000000001E-2</v>
      </c>
      <c r="V212" s="30">
        <f>'Volume &amp; CPI forecast'!V13</f>
        <v>2.5000000000000001E-2</v>
      </c>
      <c r="W212" s="30">
        <f>'Volume &amp; CPI forecast'!W13</f>
        <v>2.5000000000000001E-2</v>
      </c>
      <c r="X212" s="485">
        <f>'Volume &amp; CPI forecast'!X13</f>
        <v>2.5000000000000001E-2</v>
      </c>
      <c r="Y212" s="30">
        <f>'Volume &amp; CPI forecast'!Y13</f>
        <v>2.5000000000000001E-2</v>
      </c>
      <c r="Z212" s="40"/>
    </row>
    <row r="213" spans="1:26">
      <c r="A213" s="4"/>
      <c r="B213" s="4"/>
      <c r="C213" s="4"/>
      <c r="D213" s="29" t="s">
        <v>5</v>
      </c>
      <c r="E213" s="8"/>
      <c r="F213" s="13"/>
      <c r="G213" s="8"/>
      <c r="H213" s="8"/>
      <c r="I213" s="13"/>
      <c r="J213" s="7"/>
      <c r="K213" s="13"/>
      <c r="L213" s="13"/>
      <c r="M213" s="13"/>
      <c r="N213" s="308"/>
      <c r="O213" s="38">
        <f t="shared" ref="O213:Y213" si="80">O211*O29+O80</f>
        <v>9.9939419396159472</v>
      </c>
      <c r="P213" s="38">
        <f t="shared" si="80"/>
        <v>19.081323289328708</v>
      </c>
      <c r="Q213" s="38">
        <f t="shared" si="80"/>
        <v>20.922995953404058</v>
      </c>
      <c r="R213" s="38">
        <f t="shared" si="80"/>
        <v>21.638875323395045</v>
      </c>
      <c r="S213" s="38">
        <f t="shared" si="80"/>
        <v>22.369640968395771</v>
      </c>
      <c r="T213" s="38">
        <f t="shared" si="80"/>
        <v>23.184277114532129</v>
      </c>
      <c r="U213" s="38">
        <f t="shared" si="80"/>
        <v>24.039728970653119</v>
      </c>
      <c r="V213" s="38">
        <f t="shared" si="80"/>
        <v>24.980370663465649</v>
      </c>
      <c r="W213" s="38">
        <f t="shared" si="80"/>
        <v>25.925103970292419</v>
      </c>
      <c r="X213" s="308">
        <f t="shared" si="80"/>
        <v>27.53882799693443</v>
      </c>
      <c r="Y213" s="38">
        <f t="shared" si="80"/>
        <v>168.23975680834192</v>
      </c>
      <c r="Z213" s="39"/>
    </row>
    <row r="214" spans="1:26">
      <c r="A214" s="4"/>
      <c r="B214" s="4"/>
      <c r="C214" s="4"/>
      <c r="D214" s="29" t="s">
        <v>196</v>
      </c>
      <c r="E214" s="8"/>
      <c r="F214" s="13"/>
      <c r="G214" s="8"/>
      <c r="H214" s="8"/>
      <c r="I214" s="13"/>
      <c r="J214" s="7"/>
      <c r="K214" s="13"/>
      <c r="L214" s="13"/>
      <c r="M214" s="13"/>
      <c r="N214" s="308"/>
      <c r="O214" s="38">
        <f t="shared" ref="O214:Y214" si="81">O138</f>
        <v>10.913761439683471</v>
      </c>
      <c r="P214" s="38">
        <f t="shared" si="81"/>
        <v>20.75718965534832</v>
      </c>
      <c r="Q214" s="38">
        <f t="shared" si="81"/>
        <v>22.840050469716136</v>
      </c>
      <c r="R214" s="38">
        <f t="shared" si="81"/>
        <v>23.780980428575866</v>
      </c>
      <c r="S214" s="38">
        <f t="shared" si="81"/>
        <v>24.751313672328074</v>
      </c>
      <c r="T214" s="38">
        <f t="shared" si="81"/>
        <v>25.728202038991839</v>
      </c>
      <c r="U214" s="38">
        <f t="shared" si="81"/>
        <v>26.761132886987625</v>
      </c>
      <c r="V214" s="38">
        <f t="shared" si="81"/>
        <v>27.922231876460284</v>
      </c>
      <c r="W214" s="38">
        <f t="shared" si="81"/>
        <v>29.078774015861725</v>
      </c>
      <c r="X214" s="308">
        <f t="shared" si="81"/>
        <v>30.890104283289439</v>
      </c>
      <c r="Y214" s="38">
        <f t="shared" si="81"/>
        <v>189.12471113156181</v>
      </c>
    </row>
    <row r="215" spans="1:26">
      <c r="A215" s="4"/>
      <c r="B215" s="4"/>
      <c r="C215" s="4"/>
      <c r="D215" s="29" t="s">
        <v>197</v>
      </c>
      <c r="E215" s="8"/>
      <c r="F215" s="13"/>
      <c r="G215" s="8"/>
      <c r="H215" s="8"/>
      <c r="I215" s="13"/>
      <c r="J215" s="7"/>
      <c r="K215" s="13"/>
      <c r="L215" s="13"/>
      <c r="M215" s="13"/>
      <c r="N215" s="483"/>
      <c r="O215" s="27">
        <f>O213-O214</f>
        <v>-0.91981950006752378</v>
      </c>
      <c r="P215" s="27">
        <f>P213-P214</f>
        <v>-1.675866366019612</v>
      </c>
      <c r="Q215" s="27">
        <f>Q213-Q214</f>
        <v>-1.9170545163120778</v>
      </c>
      <c r="R215" s="27">
        <f>R213-R214</f>
        <v>-2.1421051051808213</v>
      </c>
      <c r="S215" s="27">
        <f>S213-S214</f>
        <v>-2.3816727039323027</v>
      </c>
      <c r="T215" s="27">
        <f t="shared" ref="T215:Y215" si="82">T213-T214</f>
        <v>-2.5439249244597093</v>
      </c>
      <c r="U215" s="27">
        <f t="shared" si="82"/>
        <v>-2.7214039163345056</v>
      </c>
      <c r="V215" s="27">
        <f t="shared" si="82"/>
        <v>-2.9418612129946347</v>
      </c>
      <c r="W215" s="27">
        <f t="shared" si="82"/>
        <v>-3.1536700455693065</v>
      </c>
      <c r="X215" s="483">
        <f t="shared" si="82"/>
        <v>-3.3512762863550094</v>
      </c>
      <c r="Y215" s="27">
        <f t="shared" si="82"/>
        <v>-20.884954323219887</v>
      </c>
    </row>
    <row r="216" spans="1:26" hidden="1" outlineLevel="1">
      <c r="A216" s="4"/>
      <c r="B216" s="4"/>
      <c r="C216" s="4"/>
      <c r="D216" s="29" t="s">
        <v>4</v>
      </c>
      <c r="E216" s="8"/>
      <c r="F216" s="13"/>
      <c r="G216" s="8"/>
      <c r="H216" s="8"/>
      <c r="I216" s="13"/>
      <c r="J216" s="7"/>
      <c r="K216" s="13"/>
      <c r="L216" s="13"/>
      <c r="M216" s="13"/>
      <c r="N216" s="484"/>
      <c r="O216" s="31">
        <f>WACC!O37</f>
        <v>0.5</v>
      </c>
      <c r="P216" s="31">
        <f>WACC!P37</f>
        <v>1.5</v>
      </c>
      <c r="Q216" s="31">
        <f>WACC!Q37</f>
        <v>2.5</v>
      </c>
      <c r="R216" s="31">
        <f>WACC!R37</f>
        <v>3.5</v>
      </c>
      <c r="S216" s="31">
        <f>WACC!S37</f>
        <v>4.5</v>
      </c>
      <c r="T216" s="31">
        <f>WACC!T37</f>
        <v>5.5</v>
      </c>
      <c r="U216" s="31">
        <f>WACC!U37</f>
        <v>6.5</v>
      </c>
      <c r="V216" s="31">
        <f>WACC!V37</f>
        <v>7.5</v>
      </c>
      <c r="W216" s="31">
        <f>WACC!W37</f>
        <v>8.5</v>
      </c>
      <c r="X216" s="484">
        <f>WACC!X37</f>
        <v>9.5</v>
      </c>
      <c r="Y216" s="31">
        <f>WACC!Y37</f>
        <v>10.5</v>
      </c>
    </row>
    <row r="217" spans="1:26" hidden="1" outlineLevel="1">
      <c r="A217" s="4"/>
      <c r="B217" s="4"/>
      <c r="C217" s="4"/>
      <c r="D217" s="29" t="s">
        <v>3</v>
      </c>
      <c r="E217" s="8"/>
      <c r="F217" s="13"/>
      <c r="G217" s="8"/>
      <c r="H217" s="8"/>
      <c r="I217" s="13"/>
      <c r="J217" s="7"/>
      <c r="K217" s="13"/>
      <c r="L217" s="13"/>
      <c r="M217" s="13"/>
      <c r="N217" s="513"/>
      <c r="O217" s="30">
        <f>WACC!O32</f>
        <v>0.13554266666666667</v>
      </c>
      <c r="P217" s="30">
        <f>WACC!P32</f>
        <v>0.13554266666666667</v>
      </c>
      <c r="Q217" s="30">
        <f>WACC!Q32</f>
        <v>0.13554266666666667</v>
      </c>
      <c r="R217" s="30">
        <f>WACC!R32</f>
        <v>0.13554266666666667</v>
      </c>
      <c r="S217" s="30">
        <f>WACC!S32</f>
        <v>0.13554266666666667</v>
      </c>
      <c r="T217" s="30">
        <f>WACC!T32</f>
        <v>0.13554266666666667</v>
      </c>
      <c r="U217" s="30">
        <f>WACC!U32</f>
        <v>0.13554266666666667</v>
      </c>
      <c r="V217" s="30">
        <f>WACC!V32</f>
        <v>0.13554266666666667</v>
      </c>
      <c r="W217" s="30">
        <f>WACC!W32</f>
        <v>0.13554266666666667</v>
      </c>
      <c r="X217" s="485">
        <f>WACC!X32</f>
        <v>0.13554266666666667</v>
      </c>
      <c r="Y217" s="30">
        <f>WACC!Y32</f>
        <v>0.13554266666666667</v>
      </c>
    </row>
    <row r="218" spans="1:26" hidden="1" outlineLevel="1">
      <c r="A218" s="4"/>
      <c r="B218" s="4"/>
      <c r="C218" s="4"/>
      <c r="D218" s="29" t="s">
        <v>2</v>
      </c>
      <c r="E218" s="8"/>
      <c r="F218" s="13"/>
      <c r="G218" s="8"/>
      <c r="H218" s="8"/>
      <c r="I218" s="13"/>
      <c r="J218" s="7"/>
      <c r="K218" s="13"/>
      <c r="L218" s="13"/>
      <c r="M218" s="13"/>
      <c r="N218" s="513"/>
      <c r="O218" s="27">
        <f>O215/(1+O217)^O216</f>
        <v>-0.86317903548383146</v>
      </c>
      <c r="P218" s="27">
        <f>P215/(1+P217)^P216</f>
        <v>-1.3849503344319236</v>
      </c>
      <c r="Q218" s="27">
        <f>Q215/(1+Q217)^Q216</f>
        <v>-1.3951657972734122</v>
      </c>
      <c r="R218" s="27">
        <f>R215/(1+R217)^R216</f>
        <v>-1.3728676669757924</v>
      </c>
      <c r="S218" s="27">
        <f>S215/(1+S217)^S216</f>
        <v>-1.3442081461208728</v>
      </c>
      <c r="T218" s="27">
        <f t="shared" ref="T218:Y218" si="83">T215/(1+T217)^T216</f>
        <v>-1.2644022998317834</v>
      </c>
      <c r="U218" s="27">
        <f t="shared" si="83"/>
        <v>-1.1911611906752178</v>
      </c>
      <c r="V218" s="27">
        <f t="shared" si="83"/>
        <v>-1.1339561301053684</v>
      </c>
      <c r="W218" s="27">
        <f t="shared" si="83"/>
        <v>-1.0705004862582783</v>
      </c>
      <c r="X218" s="483">
        <f t="shared" si="83"/>
        <v>-1.001791615038345</v>
      </c>
      <c r="Y218" s="27">
        <f t="shared" si="83"/>
        <v>-5.49790500520918</v>
      </c>
    </row>
    <row r="219" spans="1:26" collapsed="1">
      <c r="A219" s="4"/>
      <c r="B219" s="4"/>
      <c r="C219" s="4"/>
      <c r="D219" s="26" t="s">
        <v>1</v>
      </c>
      <c r="E219" s="25"/>
      <c r="F219" s="23"/>
      <c r="G219" s="25"/>
      <c r="H219" s="25"/>
      <c r="I219" s="23"/>
      <c r="J219" s="24"/>
      <c r="K219" s="23"/>
      <c r="L219" s="23"/>
      <c r="M219" s="23"/>
      <c r="N219" s="516">
        <f>SUM(O218:S218)</f>
        <v>-6.3603709802858326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486"/>
      <c r="Y219" s="22"/>
    </row>
    <row r="220" spans="1:26">
      <c r="A220" s="4"/>
      <c r="B220" s="4"/>
      <c r="C220" s="4"/>
      <c r="D220" s="9"/>
      <c r="E220" s="8"/>
      <c r="F220" s="13"/>
      <c r="G220" s="9"/>
      <c r="H220" s="8"/>
      <c r="I220" s="13"/>
      <c r="J220" s="7"/>
      <c r="K220" s="13"/>
      <c r="L220" s="7"/>
      <c r="M220" s="13"/>
      <c r="N220" s="517"/>
      <c r="O220" s="35"/>
      <c r="P220" s="35"/>
      <c r="Q220" s="35"/>
      <c r="R220" s="35"/>
      <c r="S220" s="35"/>
      <c r="T220" s="35"/>
      <c r="U220" s="35"/>
      <c r="V220" s="35"/>
      <c r="W220" s="35"/>
      <c r="X220" s="487"/>
      <c r="Y220" s="35"/>
    </row>
    <row r="221" spans="1:26">
      <c r="A221" s="4"/>
      <c r="B221" s="4"/>
      <c r="C221" s="4"/>
      <c r="D221" s="36"/>
      <c r="E221" s="8"/>
      <c r="F221" s="13"/>
      <c r="G221" s="9"/>
      <c r="H221" s="8"/>
      <c r="I221" s="13"/>
      <c r="J221" s="7"/>
      <c r="K221" s="13"/>
      <c r="L221" s="7"/>
      <c r="M221" s="13"/>
      <c r="N221" s="517"/>
      <c r="O221" s="35"/>
      <c r="P221" s="35"/>
      <c r="Q221" s="594"/>
      <c r="R221" s="590"/>
      <c r="S221" s="35"/>
      <c r="T221" s="35"/>
      <c r="U221" s="35"/>
      <c r="V221" s="35"/>
      <c r="W221" s="35"/>
      <c r="X221" s="487"/>
      <c r="Y221" s="35"/>
    </row>
    <row r="222" spans="1:26">
      <c r="A222" s="4"/>
      <c r="B222" s="4"/>
      <c r="C222" s="4"/>
      <c r="D222" s="34" t="s">
        <v>8</v>
      </c>
      <c r="E222" s="8"/>
      <c r="F222" s="13"/>
      <c r="G222" s="8"/>
      <c r="H222" s="8"/>
      <c r="I222" s="13"/>
      <c r="J222" s="7"/>
      <c r="K222" s="13"/>
      <c r="L222" s="13"/>
      <c r="M222" s="13" t="s">
        <v>6</v>
      </c>
      <c r="N222" s="593"/>
      <c r="O222" s="537">
        <v>5.8</v>
      </c>
      <c r="P222" s="337">
        <f>O222*(1+P223)</f>
        <v>5.9217999999999993</v>
      </c>
      <c r="Q222" s="644">
        <f>'FY 15 price breakdown'!E87</f>
        <v>7.1899397018149998</v>
      </c>
      <c r="R222" s="537">
        <v>8.3337216036299981</v>
      </c>
      <c r="S222" s="337">
        <f>R222*(1+S223)</f>
        <v>8.5087297573062273</v>
      </c>
      <c r="T222" s="337">
        <f>S222*(1+T223)</f>
        <v>8.7214480012388815</v>
      </c>
      <c r="U222" s="337">
        <f t="shared" ref="U222:Y222" si="84">T222*(1+U223)</f>
        <v>8.9394842012698525</v>
      </c>
      <c r="V222" s="337">
        <f t="shared" si="84"/>
        <v>9.1629713063015981</v>
      </c>
      <c r="W222" s="337">
        <f t="shared" si="84"/>
        <v>9.392045588959137</v>
      </c>
      <c r="X222" s="337">
        <f t="shared" si="84"/>
        <v>9.6268467286831143</v>
      </c>
      <c r="Y222" s="337">
        <f t="shared" si="84"/>
        <v>9.8675178969001909</v>
      </c>
    </row>
    <row r="223" spans="1:26">
      <c r="A223" s="4"/>
      <c r="B223" s="4"/>
      <c r="C223" s="4"/>
      <c r="D223" s="76" t="s">
        <v>202</v>
      </c>
      <c r="E223" s="8"/>
      <c r="F223" s="13"/>
      <c r="G223" s="8"/>
      <c r="H223" s="8"/>
      <c r="I223" s="41"/>
      <c r="J223" s="7"/>
      <c r="K223" s="13"/>
      <c r="L223" s="13"/>
      <c r="M223" s="13"/>
      <c r="N223" s="480"/>
      <c r="O223" s="33"/>
      <c r="P223" s="30">
        <f>'Volume &amp; CPI forecast'!P13</f>
        <v>2.1000000000000001E-2</v>
      </c>
      <c r="Q223" s="30">
        <f>'Volume &amp; CPI forecast'!Q13</f>
        <v>2.1000000000000001E-2</v>
      </c>
      <c r="R223" s="30">
        <f>'Volume &amp; CPI forecast'!R13</f>
        <v>2.1000000000000001E-2</v>
      </c>
      <c r="S223" s="30">
        <f>'Volume &amp; CPI forecast'!S13</f>
        <v>2.1000000000000001E-2</v>
      </c>
      <c r="T223" s="30">
        <f>'Volume &amp; CPI forecast'!T13</f>
        <v>2.5000000000000001E-2</v>
      </c>
      <c r="U223" s="30">
        <f>'Volume &amp; CPI forecast'!U13</f>
        <v>2.5000000000000001E-2</v>
      </c>
      <c r="V223" s="30">
        <f>'Volume &amp; CPI forecast'!V13</f>
        <v>2.5000000000000001E-2</v>
      </c>
      <c r="W223" s="30">
        <f>'Volume &amp; CPI forecast'!W13</f>
        <v>2.5000000000000001E-2</v>
      </c>
      <c r="X223" s="485">
        <f>'Volume &amp; CPI forecast'!X13</f>
        <v>2.5000000000000001E-2</v>
      </c>
      <c r="Y223" s="30">
        <f>'Volume &amp; CPI forecast'!Y13</f>
        <v>2.5000000000000001E-2</v>
      </c>
    </row>
    <row r="224" spans="1:26">
      <c r="A224" s="4"/>
      <c r="B224" s="4"/>
      <c r="C224" s="4"/>
      <c r="D224" s="29" t="s">
        <v>5</v>
      </c>
      <c r="E224" s="8"/>
      <c r="F224" s="13"/>
      <c r="G224" s="8"/>
      <c r="H224" s="8"/>
      <c r="I224" s="13"/>
      <c r="J224" s="7"/>
      <c r="K224" s="13"/>
      <c r="L224" s="13"/>
      <c r="M224" s="13"/>
      <c r="N224" s="308"/>
      <c r="O224" s="38">
        <f t="shared" ref="O224:Y224" si="85">O222*O30</f>
        <v>6.1680636499999997</v>
      </c>
      <c r="P224" s="38">
        <f t="shared" si="85"/>
        <v>11.708375696999999</v>
      </c>
      <c r="Q224" s="38">
        <f t="shared" si="85"/>
        <v>14.349753556279396</v>
      </c>
      <c r="R224" s="38">
        <f t="shared" si="85"/>
        <v>16.721045704614546</v>
      </c>
      <c r="S224" s="38">
        <f t="shared" si="85"/>
        <v>17.040543698444026</v>
      </c>
      <c r="T224" s="38">
        <f t="shared" si="85"/>
        <v>17.542067587699851</v>
      </c>
      <c r="U224" s="38">
        <f t="shared" si="85"/>
        <v>17.920590640980819</v>
      </c>
      <c r="V224" s="38">
        <f t="shared" si="85"/>
        <v>18.47376882868776</v>
      </c>
      <c r="W224" s="38">
        <f t="shared" si="85"/>
        <v>18.945221112042457</v>
      </c>
      <c r="X224" s="308">
        <f t="shared" si="85"/>
        <v>19.80493818239945</v>
      </c>
      <c r="Y224" s="38">
        <f t="shared" si="85"/>
        <v>120.73899734685871</v>
      </c>
    </row>
    <row r="225" spans="1:25">
      <c r="A225" s="4"/>
      <c r="B225" s="4"/>
      <c r="C225" s="4"/>
      <c r="D225" s="29" t="s">
        <v>196</v>
      </c>
      <c r="E225" s="8"/>
      <c r="F225" s="13"/>
      <c r="G225" s="8"/>
      <c r="H225" s="8"/>
      <c r="I225" s="13"/>
      <c r="J225" s="7"/>
      <c r="K225" s="13"/>
      <c r="L225" s="13"/>
      <c r="M225" s="13"/>
      <c r="N225" s="308"/>
      <c r="O225" s="38">
        <f t="shared" ref="O225:Y225" si="86">O152</f>
        <v>8.0225644292550964</v>
      </c>
      <c r="P225" s="38">
        <f t="shared" si="86"/>
        <v>15.228636363229981</v>
      </c>
      <c r="Q225" s="38">
        <f t="shared" si="86"/>
        <v>15.695062121593333</v>
      </c>
      <c r="R225" s="38">
        <f t="shared" si="86"/>
        <v>16.109944060451927</v>
      </c>
      <c r="S225" s="38">
        <f t="shared" si="86"/>
        <v>16.417765407211306</v>
      </c>
      <c r="T225" s="38">
        <f t="shared" si="86"/>
        <v>16.900960175267105</v>
      </c>
      <c r="U225" s="38">
        <f t="shared" si="86"/>
        <v>17.265649401148774</v>
      </c>
      <c r="V225" s="38">
        <f t="shared" si="86"/>
        <v>17.798610665465013</v>
      </c>
      <c r="W225" s="38">
        <f t="shared" si="86"/>
        <v>18.252832850260578</v>
      </c>
      <c r="X225" s="308">
        <f t="shared" si="86"/>
        <v>19.081129964922766</v>
      </c>
      <c r="Y225" s="38">
        <f t="shared" si="86"/>
        <v>116.3263666360385</v>
      </c>
    </row>
    <row r="226" spans="1:25">
      <c r="A226" s="4"/>
      <c r="B226" s="4"/>
      <c r="C226" s="4"/>
      <c r="D226" s="29" t="s">
        <v>197</v>
      </c>
      <c r="E226" s="8"/>
      <c r="F226" s="13"/>
      <c r="G226" s="8"/>
      <c r="H226" s="8"/>
      <c r="I226" s="13"/>
      <c r="J226" s="7"/>
      <c r="K226" s="13"/>
      <c r="L226" s="13"/>
      <c r="M226" s="13"/>
      <c r="N226" s="483"/>
      <c r="O226" s="27">
        <f>O224-O225</f>
        <v>-1.8545007792550967</v>
      </c>
      <c r="P226" s="27">
        <f>P224-P225</f>
        <v>-3.5202606662299818</v>
      </c>
      <c r="Q226" s="27">
        <f>Q224-Q225</f>
        <v>-1.3453085653139372</v>
      </c>
      <c r="R226" s="27">
        <f>R224-R225</f>
        <v>0.61110164416261981</v>
      </c>
      <c r="S226" s="27">
        <f>S224-S225</f>
        <v>0.62277829123271999</v>
      </c>
      <c r="T226" s="27">
        <f t="shared" ref="T226:Y226" si="87">T224-T225</f>
        <v>0.6411074124327456</v>
      </c>
      <c r="U226" s="27">
        <f t="shared" si="87"/>
        <v>0.65494123983204489</v>
      </c>
      <c r="V226" s="27">
        <f t="shared" si="87"/>
        <v>0.67515816322274702</v>
      </c>
      <c r="W226" s="27">
        <f t="shared" si="87"/>
        <v>0.69238826178187907</v>
      </c>
      <c r="X226" s="483">
        <f t="shared" si="87"/>
        <v>0.72380821747668378</v>
      </c>
      <c r="Y226" s="27">
        <f t="shared" si="87"/>
        <v>4.4126307108202099</v>
      </c>
    </row>
    <row r="227" spans="1:25" hidden="1" outlineLevel="1">
      <c r="A227" s="4"/>
      <c r="B227" s="4"/>
      <c r="C227" s="4"/>
      <c r="D227" s="29" t="s">
        <v>4</v>
      </c>
      <c r="E227" s="8"/>
      <c r="F227" s="13"/>
      <c r="G227" s="8"/>
      <c r="H227" s="8"/>
      <c r="I227" s="13"/>
      <c r="J227" s="7"/>
      <c r="K227" s="13"/>
      <c r="L227" s="13"/>
      <c r="M227" s="13"/>
      <c r="N227" s="484"/>
      <c r="O227" s="31">
        <f>WACC!O37</f>
        <v>0.5</v>
      </c>
      <c r="P227" s="31">
        <f>WACC!P37</f>
        <v>1.5</v>
      </c>
      <c r="Q227" s="31">
        <f>WACC!Q37</f>
        <v>2.5</v>
      </c>
      <c r="R227" s="31">
        <f>WACC!R37</f>
        <v>3.5</v>
      </c>
      <c r="S227" s="31">
        <f>WACC!S37</f>
        <v>4.5</v>
      </c>
      <c r="T227" s="31">
        <f>WACC!T37</f>
        <v>5.5</v>
      </c>
      <c r="U227" s="31">
        <f>WACC!U37</f>
        <v>6.5</v>
      </c>
      <c r="V227" s="31">
        <f>WACC!V37</f>
        <v>7.5</v>
      </c>
      <c r="W227" s="31">
        <f>WACC!W37</f>
        <v>8.5</v>
      </c>
      <c r="X227" s="484">
        <f>WACC!X37</f>
        <v>9.5</v>
      </c>
      <c r="Y227" s="31">
        <f>WACC!Y37</f>
        <v>10.5</v>
      </c>
    </row>
    <row r="228" spans="1:25" hidden="1" outlineLevel="1">
      <c r="A228" s="4"/>
      <c r="B228" s="4"/>
      <c r="C228" s="4"/>
      <c r="D228" s="29" t="s">
        <v>3</v>
      </c>
      <c r="E228" s="8"/>
      <c r="F228" s="13"/>
      <c r="G228" s="8"/>
      <c r="H228" s="8"/>
      <c r="I228" s="13"/>
      <c r="J228" s="7"/>
      <c r="K228" s="13"/>
      <c r="L228" s="13"/>
      <c r="M228" s="13"/>
      <c r="N228" s="513"/>
      <c r="O228" s="30">
        <f>WACC!O32</f>
        <v>0.13554266666666667</v>
      </c>
      <c r="P228" s="30">
        <f>WACC!P32</f>
        <v>0.13554266666666667</v>
      </c>
      <c r="Q228" s="30">
        <f>WACC!Q32</f>
        <v>0.13554266666666667</v>
      </c>
      <c r="R228" s="30">
        <f>WACC!R32</f>
        <v>0.13554266666666667</v>
      </c>
      <c r="S228" s="30">
        <f>WACC!S32</f>
        <v>0.13554266666666667</v>
      </c>
      <c r="T228" s="30">
        <f>WACC!T32</f>
        <v>0.13554266666666667</v>
      </c>
      <c r="U228" s="30">
        <f>WACC!U32</f>
        <v>0.13554266666666667</v>
      </c>
      <c r="V228" s="30">
        <f>WACC!V32</f>
        <v>0.13554266666666667</v>
      </c>
      <c r="W228" s="30">
        <f>WACC!W32</f>
        <v>0.13554266666666667</v>
      </c>
      <c r="X228" s="485">
        <f>WACC!X32</f>
        <v>0.13554266666666667</v>
      </c>
      <c r="Y228" s="30">
        <f>WACC!Y32</f>
        <v>0.13554266666666667</v>
      </c>
    </row>
    <row r="229" spans="1:25" hidden="1" outlineLevel="1">
      <c r="A229" s="4"/>
      <c r="B229" s="4"/>
      <c r="C229" s="4"/>
      <c r="D229" s="29" t="s">
        <v>2</v>
      </c>
      <c r="E229" s="8"/>
      <c r="F229" s="13"/>
      <c r="G229" s="8"/>
      <c r="H229" s="8"/>
      <c r="I229" s="13"/>
      <c r="J229" s="7"/>
      <c r="K229" s="13"/>
      <c r="L229" s="13"/>
      <c r="M229" s="13"/>
      <c r="N229" s="513"/>
      <c r="O229" s="27">
        <f>O226/(1+O228)^O227</f>
        <v>-1.7403046943709242</v>
      </c>
      <c r="P229" s="27">
        <f>P226/(1+P228)^P227</f>
        <v>-2.9091735987054856</v>
      </c>
      <c r="Q229" s="27">
        <f>Q226/(1+Q228)^Q227</f>
        <v>-0.97906892116751032</v>
      </c>
      <c r="R229" s="27">
        <f>R226/(1+R228)^R227</f>
        <v>0.39165290558223453</v>
      </c>
      <c r="S229" s="27">
        <f>S226/(1+S228)^S227</f>
        <v>0.35149399450230034</v>
      </c>
      <c r="T229" s="27">
        <f t="shared" ref="T229:Y229" si="88">T226/(1+T228)^T227</f>
        <v>0.31864843137669641</v>
      </c>
      <c r="U229" s="27">
        <f t="shared" si="88"/>
        <v>0.2866684296212168</v>
      </c>
      <c r="V229" s="27">
        <f t="shared" si="88"/>
        <v>0.26024332303486925</v>
      </c>
      <c r="W229" s="27">
        <f t="shared" si="88"/>
        <v>0.23502838287041614</v>
      </c>
      <c r="X229" s="483">
        <f t="shared" si="88"/>
        <v>0.21636682302689156</v>
      </c>
      <c r="Y229" s="27">
        <f t="shared" si="88"/>
        <v>1.161612522378642</v>
      </c>
    </row>
    <row r="230" spans="1:25" collapsed="1">
      <c r="A230" s="4"/>
      <c r="B230" s="4"/>
      <c r="C230" s="4"/>
      <c r="D230" s="26" t="s">
        <v>1</v>
      </c>
      <c r="E230" s="25"/>
      <c r="F230" s="23"/>
      <c r="G230" s="25"/>
      <c r="H230" s="25"/>
      <c r="I230" s="23"/>
      <c r="J230" s="24"/>
      <c r="K230" s="23"/>
      <c r="L230" s="23"/>
      <c r="M230" s="23"/>
      <c r="N230" s="516">
        <f>SUM(O229:S229)</f>
        <v>-4.8854003141593845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486"/>
      <c r="Y230" s="22"/>
    </row>
    <row r="231" spans="1:25">
      <c r="A231" s="4"/>
      <c r="B231" s="4"/>
      <c r="C231" s="4"/>
      <c r="D231" s="8"/>
      <c r="E231" s="8"/>
      <c r="F231" s="36"/>
      <c r="G231" s="8"/>
      <c r="H231" s="8"/>
      <c r="I231" s="13"/>
      <c r="J231" s="7"/>
      <c r="K231" s="13"/>
      <c r="L231" s="13"/>
      <c r="M231" s="37"/>
      <c r="N231" s="513"/>
      <c r="O231" s="37"/>
      <c r="P231" s="36"/>
      <c r="Q231" s="36"/>
      <c r="R231" s="36"/>
      <c r="S231" s="36"/>
      <c r="T231" s="36"/>
      <c r="U231" s="36"/>
      <c r="V231" s="36"/>
      <c r="W231" s="36"/>
      <c r="X231" s="503"/>
      <c r="Y231" s="37"/>
    </row>
    <row r="232" spans="1:25">
      <c r="A232" s="4"/>
      <c r="B232" s="4"/>
      <c r="C232" s="4"/>
      <c r="D232" s="7"/>
      <c r="E232" s="7"/>
      <c r="F232" s="13"/>
      <c r="G232" s="8"/>
      <c r="H232" s="8"/>
      <c r="I232" s="13"/>
      <c r="J232" s="7"/>
      <c r="K232" s="13"/>
      <c r="L232" s="13"/>
      <c r="M232" s="13"/>
      <c r="N232" s="487"/>
      <c r="O232" s="35"/>
      <c r="P232" s="35"/>
      <c r="Q232" s="35"/>
      <c r="R232" s="35"/>
      <c r="S232" s="35"/>
      <c r="T232" s="35"/>
      <c r="U232" s="35"/>
      <c r="V232" s="35"/>
      <c r="W232" s="35"/>
      <c r="X232" s="487"/>
      <c r="Y232" s="35"/>
    </row>
    <row r="233" spans="1:25">
      <c r="A233" s="4"/>
      <c r="B233" s="4"/>
      <c r="C233" s="4"/>
      <c r="D233" s="34" t="s">
        <v>7</v>
      </c>
      <c r="E233" s="8"/>
      <c r="F233" s="13"/>
      <c r="G233" s="8"/>
      <c r="H233" s="8"/>
      <c r="I233" s="13"/>
      <c r="J233" s="7"/>
      <c r="K233" s="13"/>
      <c r="L233" s="13"/>
      <c r="M233" s="13" t="s">
        <v>6</v>
      </c>
      <c r="N233" s="595"/>
      <c r="O233" s="537">
        <v>1.86</v>
      </c>
      <c r="P233" s="337">
        <f>O233*(1+P234)</f>
        <v>1.89906</v>
      </c>
      <c r="Q233" s="644">
        <f>'FY 15 price breakdown'!E106</f>
        <v>2.3057392836855004</v>
      </c>
      <c r="R233" s="537">
        <v>2.6725383073709996</v>
      </c>
      <c r="S233" s="337">
        <f>R233*(1+S234)</f>
        <v>2.7286616118257903</v>
      </c>
      <c r="T233" s="337">
        <f t="shared" ref="T233:Y233" si="89">S233*(1+T234)</f>
        <v>2.796878152121435</v>
      </c>
      <c r="U233" s="337">
        <f t="shared" si="89"/>
        <v>2.8668001059244705</v>
      </c>
      <c r="V233" s="337">
        <f t="shared" si="89"/>
        <v>2.9384701085725822</v>
      </c>
      <c r="W233" s="337">
        <f t="shared" si="89"/>
        <v>3.0119318612868966</v>
      </c>
      <c r="X233" s="481">
        <f t="shared" si="89"/>
        <v>3.0872301578190688</v>
      </c>
      <c r="Y233" s="337">
        <f t="shared" si="89"/>
        <v>3.1644109117645454</v>
      </c>
    </row>
    <row r="234" spans="1:25">
      <c r="A234" s="4"/>
      <c r="B234" s="4"/>
      <c r="C234" s="4"/>
      <c r="D234" s="76" t="s">
        <v>202</v>
      </c>
      <c r="E234" s="8"/>
      <c r="F234" s="13"/>
      <c r="G234" s="8"/>
      <c r="H234" s="8"/>
      <c r="I234" s="41"/>
      <c r="J234" s="7"/>
      <c r="K234" s="13"/>
      <c r="L234" s="13"/>
      <c r="M234" s="13"/>
      <c r="N234" s="480"/>
      <c r="O234" s="33"/>
      <c r="P234" s="30">
        <f>'Volume &amp; CPI forecast'!P13</f>
        <v>2.1000000000000001E-2</v>
      </c>
      <c r="Q234" s="30">
        <f>'Volume &amp; CPI forecast'!Q13</f>
        <v>2.1000000000000001E-2</v>
      </c>
      <c r="R234" s="30">
        <f>'Volume &amp; CPI forecast'!R13</f>
        <v>2.1000000000000001E-2</v>
      </c>
      <c r="S234" s="30">
        <f>'Volume &amp; CPI forecast'!S13</f>
        <v>2.1000000000000001E-2</v>
      </c>
      <c r="T234" s="30">
        <f>'Volume &amp; CPI forecast'!T13</f>
        <v>2.5000000000000001E-2</v>
      </c>
      <c r="U234" s="30">
        <f>'Volume &amp; CPI forecast'!U13</f>
        <v>2.5000000000000001E-2</v>
      </c>
      <c r="V234" s="30">
        <f>'Volume &amp; CPI forecast'!V13</f>
        <v>2.5000000000000001E-2</v>
      </c>
      <c r="W234" s="30">
        <f>'Volume &amp; CPI forecast'!W13</f>
        <v>2.5000000000000001E-2</v>
      </c>
      <c r="X234" s="485">
        <f>'Volume &amp; CPI forecast'!X13</f>
        <v>2.5000000000000001E-2</v>
      </c>
      <c r="Y234" s="30">
        <f>'Volume &amp; CPI forecast'!Y13</f>
        <v>2.5000000000000001E-2</v>
      </c>
    </row>
    <row r="235" spans="1:25">
      <c r="A235" s="4"/>
      <c r="B235" s="4"/>
      <c r="C235" s="4"/>
      <c r="D235" s="29" t="s">
        <v>5</v>
      </c>
      <c r="E235" s="8"/>
      <c r="F235" s="13"/>
      <c r="G235" s="8"/>
      <c r="H235" s="8"/>
      <c r="I235" s="13"/>
      <c r="J235" s="7"/>
      <c r="K235" s="13"/>
      <c r="L235" s="13"/>
      <c r="M235" s="28"/>
      <c r="N235" s="482"/>
      <c r="O235" s="32">
        <f t="shared" ref="O235:Y235" si="90">O233*O31</f>
        <v>1.1266043250000002</v>
      </c>
      <c r="P235" s="32">
        <f t="shared" si="90"/>
        <v>2.07913456638</v>
      </c>
      <c r="Q235" s="32">
        <f t="shared" si="90"/>
        <v>2.5277566135722935</v>
      </c>
      <c r="R235" s="32">
        <f t="shared" si="90"/>
        <v>2.9517250216505113</v>
      </c>
      <c r="S235" s="32">
        <f t="shared" si="90"/>
        <v>3.0487554481858501</v>
      </c>
      <c r="T235" s="32">
        <f t="shared" si="90"/>
        <v>3.1502357378604566</v>
      </c>
      <c r="U235" s="32">
        <f t="shared" si="90"/>
        <v>3.2667187207009341</v>
      </c>
      <c r="V235" s="32">
        <f t="shared" si="90"/>
        <v>3.3907359199232054</v>
      </c>
      <c r="W235" s="32">
        <f t="shared" si="90"/>
        <v>3.499370865990123</v>
      </c>
      <c r="X235" s="482">
        <f t="shared" si="90"/>
        <v>3.6722403351538309</v>
      </c>
      <c r="Y235" s="32">
        <f t="shared" si="90"/>
        <v>22.387477910796896</v>
      </c>
    </row>
    <row r="236" spans="1:25">
      <c r="A236" s="4"/>
      <c r="B236" s="4"/>
      <c r="C236" s="4"/>
      <c r="D236" s="29" t="s">
        <v>196</v>
      </c>
      <c r="E236" s="8"/>
      <c r="F236" s="13"/>
      <c r="G236" s="8"/>
      <c r="H236" s="8"/>
      <c r="I236" s="13"/>
      <c r="J236" s="7"/>
      <c r="K236" s="13"/>
      <c r="L236" s="13"/>
      <c r="M236" s="28"/>
      <c r="N236" s="482"/>
      <c r="O236" s="32">
        <f t="shared" ref="O236:Y236" si="91">O165</f>
        <v>1.6972491077906464</v>
      </c>
      <c r="P236" s="32">
        <f t="shared" si="91"/>
        <v>3.1322525659265037</v>
      </c>
      <c r="Q236" s="32">
        <f t="shared" si="91"/>
        <v>3.2023121252889166</v>
      </c>
      <c r="R236" s="32">
        <f t="shared" si="91"/>
        <v>3.2939446955573075</v>
      </c>
      <c r="S236" s="32">
        <f t="shared" si="91"/>
        <v>3.4022247204408669</v>
      </c>
      <c r="T236" s="32">
        <f t="shared" si="91"/>
        <v>3.5154705205833121</v>
      </c>
      <c r="U236" s="32">
        <f t="shared" si="91"/>
        <v>3.6454584092368214</v>
      </c>
      <c r="V236" s="32">
        <f t="shared" si="91"/>
        <v>3.7838540228321729</v>
      </c>
      <c r="W236" s="32">
        <f t="shared" si="91"/>
        <v>3.9050839821693692</v>
      </c>
      <c r="X236" s="482">
        <f t="shared" si="91"/>
        <v>4.0979957428513307</v>
      </c>
      <c r="Y236" s="32">
        <f t="shared" si="91"/>
        <v>24.983056880393622</v>
      </c>
    </row>
    <row r="237" spans="1:25">
      <c r="A237" s="4"/>
      <c r="B237" s="4"/>
      <c r="C237" s="4"/>
      <c r="D237" s="29" t="s">
        <v>143</v>
      </c>
      <c r="E237" s="8"/>
      <c r="F237" s="13"/>
      <c r="G237" s="8"/>
      <c r="H237" s="8"/>
      <c r="I237" s="13"/>
      <c r="J237" s="7"/>
      <c r="K237" s="13"/>
      <c r="L237" s="13"/>
      <c r="M237" s="28"/>
      <c r="N237" s="483"/>
      <c r="O237" s="27">
        <f>O235-O236</f>
        <v>-0.57064478279064623</v>
      </c>
      <c r="P237" s="27">
        <f>P235-P236</f>
        <v>-1.0531179995465036</v>
      </c>
      <c r="Q237" s="27">
        <f>Q235-Q236</f>
        <v>-0.67455551171662309</v>
      </c>
      <c r="R237" s="27">
        <f>R235-R236</f>
        <v>-0.3422196739067962</v>
      </c>
      <c r="S237" s="27">
        <f>S235-S236</f>
        <v>-0.35346927225501679</v>
      </c>
      <c r="T237" s="27">
        <f t="shared" ref="T237:Y237" si="92">T235-T236</f>
        <v>-0.36523478272285548</v>
      </c>
      <c r="U237" s="27">
        <f t="shared" si="92"/>
        <v>-0.37873968853588735</v>
      </c>
      <c r="V237" s="27">
        <f t="shared" si="92"/>
        <v>-0.39311810290896743</v>
      </c>
      <c r="W237" s="27">
        <f t="shared" si="92"/>
        <v>-0.40571311617924621</v>
      </c>
      <c r="X237" s="483">
        <f t="shared" si="92"/>
        <v>-0.42575540769749987</v>
      </c>
      <c r="Y237" s="27">
        <f t="shared" si="92"/>
        <v>-2.5955789695967262</v>
      </c>
    </row>
    <row r="238" spans="1:25" hidden="1" outlineLevel="1">
      <c r="A238" s="4"/>
      <c r="B238" s="4"/>
      <c r="C238" s="4"/>
      <c r="D238" s="29" t="s">
        <v>4</v>
      </c>
      <c r="E238" s="8"/>
      <c r="F238" s="13"/>
      <c r="G238" s="8"/>
      <c r="H238" s="8"/>
      <c r="I238" s="13"/>
      <c r="J238" s="7"/>
      <c r="K238" s="13"/>
      <c r="L238" s="13"/>
      <c r="M238" s="28"/>
      <c r="N238" s="484"/>
      <c r="O238" s="31">
        <f>WACC!O37</f>
        <v>0.5</v>
      </c>
      <c r="P238" s="31">
        <f>WACC!P37</f>
        <v>1.5</v>
      </c>
      <c r="Q238" s="31">
        <f>WACC!Q37</f>
        <v>2.5</v>
      </c>
      <c r="R238" s="31">
        <f>WACC!R37</f>
        <v>3.5</v>
      </c>
      <c r="S238" s="31">
        <f>WACC!S37</f>
        <v>4.5</v>
      </c>
      <c r="T238" s="31">
        <f>WACC!T37</f>
        <v>5.5</v>
      </c>
      <c r="U238" s="31">
        <f>WACC!U37</f>
        <v>6.5</v>
      </c>
      <c r="V238" s="31">
        <f>WACC!V37</f>
        <v>7.5</v>
      </c>
      <c r="W238" s="31">
        <f>WACC!W37</f>
        <v>8.5</v>
      </c>
      <c r="X238" s="484">
        <f>WACC!X37</f>
        <v>9.5</v>
      </c>
      <c r="Y238" s="31">
        <f>WACC!Y37</f>
        <v>10.5</v>
      </c>
    </row>
    <row r="239" spans="1:25" hidden="1" outlineLevel="1">
      <c r="A239" s="4"/>
      <c r="B239" s="4"/>
      <c r="C239" s="4"/>
      <c r="D239" s="29" t="s">
        <v>3</v>
      </c>
      <c r="E239" s="8"/>
      <c r="F239" s="13"/>
      <c r="G239" s="8"/>
      <c r="H239" s="8"/>
      <c r="I239" s="13"/>
      <c r="J239" s="7"/>
      <c r="K239" s="13"/>
      <c r="L239" s="13"/>
      <c r="M239" s="28"/>
      <c r="N239" s="513"/>
      <c r="O239" s="30">
        <f>WACC!O32</f>
        <v>0.13554266666666667</v>
      </c>
      <c r="P239" s="30">
        <f>WACC!P32</f>
        <v>0.13554266666666667</v>
      </c>
      <c r="Q239" s="30">
        <f>WACC!Q32</f>
        <v>0.13554266666666667</v>
      </c>
      <c r="R239" s="30">
        <f>WACC!R32</f>
        <v>0.13554266666666667</v>
      </c>
      <c r="S239" s="30">
        <f>WACC!S32</f>
        <v>0.13554266666666667</v>
      </c>
      <c r="T239" s="30">
        <f>WACC!T32</f>
        <v>0.13554266666666667</v>
      </c>
      <c r="U239" s="30">
        <f>WACC!U32</f>
        <v>0.13554266666666667</v>
      </c>
      <c r="V239" s="30">
        <f>WACC!V32</f>
        <v>0.13554266666666667</v>
      </c>
      <c r="W239" s="30">
        <f>WACC!W32</f>
        <v>0.13554266666666667</v>
      </c>
      <c r="X239" s="485">
        <f>WACC!X32</f>
        <v>0.13554266666666667</v>
      </c>
      <c r="Y239" s="30">
        <f>WACC!Y32</f>
        <v>0.13554266666666667</v>
      </c>
    </row>
    <row r="240" spans="1:25" hidden="1" outlineLevel="1">
      <c r="A240" s="4"/>
      <c r="B240" s="4"/>
      <c r="C240" s="4"/>
      <c r="D240" s="29" t="s">
        <v>2</v>
      </c>
      <c r="E240" s="8"/>
      <c r="F240" s="13"/>
      <c r="G240" s="8"/>
      <c r="H240" s="8"/>
      <c r="I240" s="13"/>
      <c r="J240" s="7"/>
      <c r="K240" s="13"/>
      <c r="L240" s="13"/>
      <c r="M240" s="28"/>
      <c r="N240" s="513"/>
      <c r="O240" s="27">
        <f>O237/(1+O239)^O238</f>
        <v>-0.53550573039270333</v>
      </c>
      <c r="P240" s="27">
        <f>P237/(1+P239)^P238</f>
        <v>-0.87030574468318922</v>
      </c>
      <c r="Q240" s="27">
        <f>Q237/(1+Q239)^Q238</f>
        <v>-0.49091810916246909</v>
      </c>
      <c r="R240" s="27">
        <f>R237/(1+R239)^R238</f>
        <v>-0.21932739162674314</v>
      </c>
      <c r="S240" s="27">
        <f>S237/(1+S239)^S238</f>
        <v>-0.1994968806520426</v>
      </c>
      <c r="T240" s="27">
        <f t="shared" ref="T240:Y240" si="93">T237/(1+T239)^T238</f>
        <v>-0.18153196849998246</v>
      </c>
      <c r="U240" s="27">
        <f t="shared" si="93"/>
        <v>-0.16577473694533926</v>
      </c>
      <c r="V240" s="27">
        <f t="shared" si="93"/>
        <v>-0.1515294741573622</v>
      </c>
      <c r="W240" s="27">
        <f t="shared" si="93"/>
        <v>-0.13771766921572193</v>
      </c>
      <c r="X240" s="483">
        <f t="shared" si="93"/>
        <v>-0.12727037732615198</v>
      </c>
      <c r="Y240" s="27">
        <f t="shared" si="93"/>
        <v>-0.6832788038466463</v>
      </c>
    </row>
    <row r="241" spans="1:25" collapsed="1">
      <c r="A241" s="4"/>
      <c r="B241" s="4"/>
      <c r="C241" s="4"/>
      <c r="D241" s="26" t="s">
        <v>1</v>
      </c>
      <c r="E241" s="25"/>
      <c r="F241" s="23"/>
      <c r="G241" s="25"/>
      <c r="H241" s="25"/>
      <c r="I241" s="23"/>
      <c r="J241" s="24"/>
      <c r="K241" s="23"/>
      <c r="L241" s="23"/>
      <c r="M241" s="23"/>
      <c r="N241" s="516">
        <f>SUM(O240:S240)</f>
        <v>-2.3155538565171474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486"/>
      <c r="Y241" s="22"/>
    </row>
    <row r="242" spans="1:25">
      <c r="A242" s="4"/>
      <c r="B242" s="4"/>
      <c r="C242" s="4"/>
      <c r="D242" s="9"/>
      <c r="E242" s="8"/>
      <c r="F242" s="13"/>
      <c r="G242" s="9"/>
      <c r="H242" s="8"/>
      <c r="I242" s="13"/>
      <c r="J242" s="7"/>
      <c r="K242" s="14"/>
      <c r="L242" s="13"/>
      <c r="M242" s="21"/>
      <c r="N242" s="499"/>
      <c r="O242" s="11"/>
      <c r="P242" s="11"/>
      <c r="Q242" s="11"/>
      <c r="R242" s="11"/>
      <c r="S242" s="11"/>
      <c r="T242" s="11"/>
      <c r="U242" s="11"/>
      <c r="V242" s="11"/>
      <c r="W242" s="11"/>
      <c r="X242" s="499"/>
      <c r="Y242" s="11"/>
    </row>
    <row r="243" spans="1:25">
      <c r="A243" s="4"/>
      <c r="B243" s="4"/>
      <c r="C243" s="4"/>
      <c r="D243" s="20" t="s">
        <v>200</v>
      </c>
      <c r="E243" s="19"/>
      <c r="F243" s="17"/>
      <c r="G243" s="19"/>
      <c r="H243" s="19"/>
      <c r="I243" s="17"/>
      <c r="J243" s="18"/>
      <c r="K243" s="17"/>
      <c r="L243" s="17"/>
      <c r="M243" s="17"/>
      <c r="N243" s="524">
        <f>SUM(N208,N219,N230,N241)+N197</f>
        <v>-15.91741420645906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500"/>
      <c r="Y243" s="16"/>
    </row>
    <row r="244" spans="1:25" s="10" customFormat="1">
      <c r="A244" s="15"/>
      <c r="B244" s="15"/>
      <c r="C244" s="15"/>
      <c r="N244" s="446"/>
      <c r="Q244" s="11"/>
      <c r="R244" s="11"/>
      <c r="S244" s="11"/>
      <c r="T244" s="11"/>
      <c r="U244" s="11"/>
      <c r="V244" s="11"/>
      <c r="W244" s="11"/>
      <c r="X244" s="538"/>
      <c r="Y244" s="11"/>
    </row>
  </sheetData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headerFooter>
    <oddFooter>&amp;L&amp;D&amp;R&amp;P of &amp;N</oddFooter>
  </headerFooter>
  <customProperties>
    <customPr name="SSCSheetTrackingNo" r:id="rId2"/>
  </customPropertie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6"/>
  <sheetViews>
    <sheetView showGridLines="0" topLeftCell="A75" zoomScale="85" zoomScaleNormal="85" workbookViewId="0">
      <selection activeCell="D91" sqref="D91"/>
    </sheetView>
  </sheetViews>
  <sheetFormatPr defaultColWidth="9.140625" defaultRowHeight="15"/>
  <cols>
    <col min="1" max="1" width="6" style="599" customWidth="1"/>
    <col min="2" max="2" width="37.7109375" style="599" customWidth="1"/>
    <col min="3" max="3" width="3" style="599" customWidth="1"/>
    <col min="4" max="4" width="9.7109375" style="600" customWidth="1"/>
    <col min="5" max="5" width="10.140625" style="599" customWidth="1"/>
    <col min="6" max="17" width="9.140625" style="599"/>
    <col min="18" max="18" width="18.42578125" style="599" bestFit="1" customWidth="1"/>
    <col min="19" max="16384" width="9.140625" style="599"/>
  </cols>
  <sheetData>
    <row r="1" spans="2:17">
      <c r="E1" s="601">
        <v>41821</v>
      </c>
      <c r="F1" s="601">
        <f t="shared" ref="F1:P1" si="0">E1+31</f>
        <v>41852</v>
      </c>
      <c r="G1" s="601">
        <f t="shared" si="0"/>
        <v>41883</v>
      </c>
      <c r="H1" s="601">
        <f t="shared" si="0"/>
        <v>41914</v>
      </c>
      <c r="I1" s="601">
        <f t="shared" si="0"/>
        <v>41945</v>
      </c>
      <c r="J1" s="601">
        <f t="shared" si="0"/>
        <v>41976</v>
      </c>
      <c r="K1" s="601">
        <f t="shared" si="0"/>
        <v>42007</v>
      </c>
      <c r="L1" s="601">
        <f t="shared" si="0"/>
        <v>42038</v>
      </c>
      <c r="M1" s="601">
        <f t="shared" si="0"/>
        <v>42069</v>
      </c>
      <c r="N1" s="601">
        <f t="shared" si="0"/>
        <v>42100</v>
      </c>
      <c r="O1" s="601">
        <f t="shared" si="0"/>
        <v>42131</v>
      </c>
      <c r="P1" s="601">
        <f t="shared" si="0"/>
        <v>42162</v>
      </c>
      <c r="Q1" s="602" t="s">
        <v>23</v>
      </c>
    </row>
    <row r="2" spans="2:17">
      <c r="B2" s="603" t="s">
        <v>271</v>
      </c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7"/>
    </row>
    <row r="3" spans="2:17" s="605" customFormat="1">
      <c r="B3" s="647" t="s">
        <v>270</v>
      </c>
      <c r="D3" s="607"/>
    </row>
    <row r="4" spans="2:17" s="605" customFormat="1">
      <c r="B4" s="609" t="s">
        <v>264</v>
      </c>
      <c r="D4" s="650">
        <f>'Pricing_and_Revenue4yr7 target '!P188</f>
        <v>14.38499</v>
      </c>
    </row>
    <row r="5" spans="2:17" s="605" customFormat="1">
      <c r="B5" s="609" t="s">
        <v>202</v>
      </c>
      <c r="D5" s="649">
        <f>'Volume &amp; CPI forecast'!P$13</f>
        <v>2.1000000000000001E-2</v>
      </c>
    </row>
    <row r="6" spans="2:17" s="605" customFormat="1">
      <c r="B6" s="609" t="s">
        <v>263</v>
      </c>
      <c r="D6" s="610">
        <f>D4*(1+D5)</f>
        <v>14.687074789999999</v>
      </c>
    </row>
    <row r="7" spans="2:17" s="605" customFormat="1">
      <c r="B7" s="609" t="s">
        <v>268</v>
      </c>
      <c r="D7" s="650">
        <f>'Pricing_and_Revenue4yr7 target '!R188</f>
        <v>19.044289267949296</v>
      </c>
    </row>
    <row r="8" spans="2:17" s="605" customFormat="1">
      <c r="B8" s="609" t="s">
        <v>266</v>
      </c>
      <c r="D8" s="648">
        <f>'Pricing_and_Revenue4yr7 target '!Q190</f>
        <v>1.4544642697884618</v>
      </c>
    </row>
    <row r="9" spans="2:17" s="605" customFormat="1">
      <c r="B9" s="606" t="s">
        <v>218</v>
      </c>
      <c r="D9" s="610">
        <f>D8/12</f>
        <v>0.12120535581570514</v>
      </c>
    </row>
    <row r="10" spans="2:17" s="605" customFormat="1">
      <c r="B10" s="647" t="s">
        <v>260</v>
      </c>
      <c r="D10" s="610"/>
    </row>
    <row r="11" spans="2:17" s="605" customFormat="1">
      <c r="B11" s="609" t="s">
        <v>264</v>
      </c>
      <c r="D11" s="650">
        <f>'Pricing_and_Revenue4yr7 target '!P199</f>
        <v>8.7240000000000002</v>
      </c>
    </row>
    <row r="12" spans="2:17" s="605" customFormat="1">
      <c r="B12" s="609" t="s">
        <v>202</v>
      </c>
      <c r="D12" s="649">
        <f>'Volume &amp; CPI forecast'!P$13</f>
        <v>2.1000000000000001E-2</v>
      </c>
    </row>
    <row r="13" spans="2:17" s="605" customFormat="1">
      <c r="B13" s="609" t="s">
        <v>263</v>
      </c>
      <c r="D13" s="610">
        <f>D11*(1+D12)</f>
        <v>8.9072040000000001</v>
      </c>
    </row>
    <row r="14" spans="2:17" s="605" customFormat="1">
      <c r="B14" s="609" t="s">
        <v>268</v>
      </c>
      <c r="D14" s="650">
        <f>'Pricing_and_Revenue4yr7 target '!R199</f>
        <v>11.549704210679998</v>
      </c>
    </row>
    <row r="15" spans="2:17" s="605" customFormat="1">
      <c r="B15" s="609" t="s">
        <v>266</v>
      </c>
      <c r="D15" s="648">
        <f>'Pricing_and_Revenue4yr7 target '!Q201</f>
        <v>0.43652583400000061</v>
      </c>
    </row>
    <row r="16" spans="2:17" s="605" customFormat="1">
      <c r="B16" s="606" t="s">
        <v>218</v>
      </c>
      <c r="D16" s="610">
        <f>D15/12</f>
        <v>3.6377152833333384E-2</v>
      </c>
    </row>
    <row r="17" spans="2:17" s="605" customFormat="1">
      <c r="B17" s="606"/>
      <c r="D17" s="610"/>
    </row>
    <row r="18" spans="2:17" s="605" customFormat="1">
      <c r="B18" s="608" t="s">
        <v>225</v>
      </c>
      <c r="D18" s="607"/>
    </row>
    <row r="19" spans="2:17" s="605" customFormat="1">
      <c r="B19" s="609" t="s">
        <v>272</v>
      </c>
      <c r="D19" s="648">
        <f>'Pricing_and_Revenue4yr7 target '!P222</f>
        <v>5.9217999999999993</v>
      </c>
    </row>
    <row r="20" spans="2:17" s="605" customFormat="1">
      <c r="B20" s="609" t="s">
        <v>202</v>
      </c>
      <c r="D20" s="649">
        <f>'Volume &amp; CPI forecast'!P$13</f>
        <v>2.1000000000000001E-2</v>
      </c>
    </row>
    <row r="21" spans="2:17" s="605" customFormat="1">
      <c r="B21" s="609" t="s">
        <v>273</v>
      </c>
      <c r="D21" s="607">
        <f>D19*(1+D20)</f>
        <v>6.0461577999999987</v>
      </c>
    </row>
    <row r="22" spans="2:17" s="605" customFormat="1">
      <c r="B22" s="609" t="s">
        <v>274</v>
      </c>
      <c r="D22" s="648">
        <f>'Pricing_and_Revenue4yr7 target '!R222</f>
        <v>8.3337216036299981</v>
      </c>
    </row>
    <row r="23" spans="2:17" s="605" customFormat="1">
      <c r="B23" s="609" t="s">
        <v>221</v>
      </c>
      <c r="D23" s="648">
        <f>'Pricing_and_Revenue4yr7 target '!Q30</f>
        <v>1.9958100000000001</v>
      </c>
    </row>
    <row r="24" spans="2:17" s="605" customFormat="1">
      <c r="B24" s="606" t="s">
        <v>218</v>
      </c>
      <c r="D24" s="610">
        <f>D23/12</f>
        <v>0.16631750000000001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s="605" customFormat="1">
      <c r="B25" s="606"/>
      <c r="D25" s="610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s="605" customFormat="1">
      <c r="B26" s="608" t="s">
        <v>226</v>
      </c>
      <c r="D26" s="607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s="605" customFormat="1">
      <c r="B27" s="609" t="s">
        <v>275</v>
      </c>
      <c r="D27" s="648">
        <f>'Pricing_and_Revenue4yr7 target '!P233</f>
        <v>1.89906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s="605" customFormat="1">
      <c r="B28" s="609" t="s">
        <v>202</v>
      </c>
      <c r="D28" s="649">
        <f>'Volume &amp; CPI forecast'!P$13</f>
        <v>2.1000000000000001E-2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s="605" customFormat="1">
      <c r="B29" s="609" t="s">
        <v>273</v>
      </c>
      <c r="D29" s="607">
        <f>D27*(1+D28)</f>
        <v>1.9389402599999999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s="605" customFormat="1">
      <c r="B30" s="609" t="s">
        <v>276</v>
      </c>
      <c r="D30" s="648">
        <f>'Pricing_and_Revenue4yr7 target '!R233</f>
        <v>2.6725383073709996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s="605" customFormat="1">
      <c r="B31" s="609" t="s">
        <v>221</v>
      </c>
      <c r="D31" s="648">
        <f>'Pricing_and_Revenue4yr7 target '!Q31</f>
        <v>1.0962890000000001</v>
      </c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s="605" customFormat="1">
      <c r="B32" s="606" t="s">
        <v>218</v>
      </c>
      <c r="D32" s="610">
        <f>D31/12</f>
        <v>9.1357416666666677E-2</v>
      </c>
      <c r="Q32" s="611"/>
    </row>
    <row r="33" spans="2:17" s="605" customFormat="1">
      <c r="B33" s="606"/>
      <c r="D33" s="610"/>
      <c r="Q33" s="611"/>
    </row>
    <row r="34" spans="2:17">
      <c r="B34" s="612" t="s">
        <v>10</v>
      </c>
      <c r="C34" s="612"/>
      <c r="D34" s="613"/>
      <c r="E34" s="601">
        <f>E$1</f>
        <v>41821</v>
      </c>
      <c r="F34" s="601">
        <f t="shared" ref="F34" si="1">E34+31</f>
        <v>41852</v>
      </c>
      <c r="G34" s="601">
        <f t="shared" ref="G34" si="2">F34+31</f>
        <v>41883</v>
      </c>
      <c r="H34" s="601">
        <f t="shared" ref="H34" si="3">G34+31</f>
        <v>41914</v>
      </c>
      <c r="I34" s="601">
        <f t="shared" ref="I34" si="4">H34+31</f>
        <v>41945</v>
      </c>
      <c r="J34" s="601">
        <f t="shared" ref="J34" si="5">I34+31</f>
        <v>41976</v>
      </c>
      <c r="K34" s="601">
        <f t="shared" ref="K34" si="6">J34+31</f>
        <v>42007</v>
      </c>
      <c r="L34" s="601">
        <f t="shared" ref="L34" si="7">K34+31</f>
        <v>42038</v>
      </c>
      <c r="M34" s="601">
        <f t="shared" ref="M34" si="8">L34+31</f>
        <v>42069</v>
      </c>
      <c r="N34" s="601">
        <f t="shared" ref="N34" si="9">M34+31</f>
        <v>42100</v>
      </c>
      <c r="O34" s="601">
        <f t="shared" ref="O34" si="10">N34+31</f>
        <v>42131</v>
      </c>
      <c r="P34" s="601">
        <f t="shared" ref="P34" si="11">O34+31</f>
        <v>42162</v>
      </c>
      <c r="Q34" s="602" t="s">
        <v>23</v>
      </c>
    </row>
    <row r="35" spans="2:17">
      <c r="B35" s="614"/>
      <c r="C35" s="614"/>
      <c r="D35" s="615"/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6" t="s">
        <v>267</v>
      </c>
    </row>
    <row r="36" spans="2:17">
      <c r="B36" s="603" t="s">
        <v>262</v>
      </c>
      <c r="C36" s="617"/>
      <c r="E36" s="643">
        <f>$D$6</f>
        <v>14.687074789999999</v>
      </c>
      <c r="F36" s="643">
        <f t="shared" ref="F36:J36" si="12">$D$6</f>
        <v>14.687074789999999</v>
      </c>
      <c r="G36" s="643">
        <f t="shared" si="12"/>
        <v>14.687074789999999</v>
      </c>
      <c r="H36" s="643">
        <f t="shared" si="12"/>
        <v>14.687074789999999</v>
      </c>
      <c r="I36" s="643">
        <f t="shared" si="12"/>
        <v>14.687074789999999</v>
      </c>
      <c r="J36" s="643">
        <f t="shared" si="12"/>
        <v>14.687074789999999</v>
      </c>
      <c r="K36" s="619"/>
      <c r="L36" s="619"/>
      <c r="M36" s="619"/>
      <c r="N36" s="619"/>
      <c r="O36" s="619"/>
      <c r="P36" s="619"/>
      <c r="Q36" s="620">
        <f>J36</f>
        <v>14.687074789999999</v>
      </c>
    </row>
    <row r="37" spans="2:17">
      <c r="B37" s="599" t="s">
        <v>265</v>
      </c>
      <c r="E37" s="640">
        <f>$D$9</f>
        <v>0.12120535581570514</v>
      </c>
      <c r="F37" s="640">
        <f t="shared" ref="F37:J37" si="13">$D$9</f>
        <v>0.12120535581570514</v>
      </c>
      <c r="G37" s="640">
        <f t="shared" si="13"/>
        <v>0.12120535581570514</v>
      </c>
      <c r="H37" s="640">
        <f t="shared" si="13"/>
        <v>0.12120535581570514</v>
      </c>
      <c r="I37" s="640">
        <f t="shared" si="13"/>
        <v>0.12120535581570514</v>
      </c>
      <c r="J37" s="640">
        <f t="shared" si="13"/>
        <v>0.12120535581570514</v>
      </c>
      <c r="K37" s="641"/>
      <c r="L37" s="641"/>
      <c r="M37" s="641"/>
      <c r="N37" s="641"/>
      <c r="O37" s="641"/>
      <c r="P37" s="641"/>
      <c r="Q37" s="620">
        <f>SUM(E37:P37)</f>
        <v>0.72723213489423089</v>
      </c>
    </row>
    <row r="38" spans="2:17">
      <c r="B38" s="599" t="s">
        <v>210</v>
      </c>
      <c r="E38" s="623">
        <f t="shared" ref="E38:J38" si="14">E36*E37</f>
        <v>1.7801521258138227</v>
      </c>
      <c r="F38" s="623">
        <f t="shared" si="14"/>
        <v>1.7801521258138227</v>
      </c>
      <c r="G38" s="623">
        <f t="shared" si="14"/>
        <v>1.7801521258138227</v>
      </c>
      <c r="H38" s="623">
        <f t="shared" si="14"/>
        <v>1.7801521258138227</v>
      </c>
      <c r="I38" s="623">
        <f t="shared" si="14"/>
        <v>1.7801521258138227</v>
      </c>
      <c r="J38" s="623">
        <f t="shared" si="14"/>
        <v>1.7801521258138227</v>
      </c>
      <c r="K38" s="619"/>
      <c r="L38" s="619"/>
      <c r="M38" s="619"/>
      <c r="N38" s="619"/>
      <c r="O38" s="619"/>
      <c r="P38" s="619"/>
      <c r="Q38" s="624">
        <f>SUM(E38:P38)</f>
        <v>10.680912754882936</v>
      </c>
    </row>
    <row r="39" spans="2:17">
      <c r="D39" s="625"/>
      <c r="E39" s="623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20"/>
    </row>
    <row r="40" spans="2:17">
      <c r="B40" s="603" t="s">
        <v>222</v>
      </c>
      <c r="D40" s="625"/>
      <c r="E40" s="623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26" t="s">
        <v>211</v>
      </c>
    </row>
    <row r="41" spans="2:17">
      <c r="B41" s="603" t="s">
        <v>223</v>
      </c>
      <c r="E41" s="623"/>
      <c r="F41" s="619"/>
      <c r="G41" s="619"/>
      <c r="H41" s="619"/>
      <c r="I41" s="619"/>
      <c r="J41" s="618"/>
      <c r="K41" s="618">
        <f>$D$7</f>
        <v>19.044289267949296</v>
      </c>
      <c r="L41" s="618">
        <f t="shared" ref="L41:P41" si="15">$D$7</f>
        <v>19.044289267949296</v>
      </c>
      <c r="M41" s="618">
        <f t="shared" si="15"/>
        <v>19.044289267949296</v>
      </c>
      <c r="N41" s="618">
        <f t="shared" si="15"/>
        <v>19.044289267949296</v>
      </c>
      <c r="O41" s="618">
        <f t="shared" si="15"/>
        <v>19.044289267949296</v>
      </c>
      <c r="P41" s="618">
        <f t="shared" si="15"/>
        <v>19.044289267949296</v>
      </c>
      <c r="Q41" s="618">
        <f>P41</f>
        <v>19.044289267949296</v>
      </c>
    </row>
    <row r="42" spans="2:17">
      <c r="B42" s="599" t="s">
        <v>221</v>
      </c>
      <c r="E42" s="627"/>
      <c r="F42" s="622"/>
      <c r="G42" s="622"/>
      <c r="H42" s="622"/>
      <c r="I42" s="622"/>
      <c r="J42" s="621"/>
      <c r="K42" s="621">
        <f>$D$9</f>
        <v>0.12120535581570514</v>
      </c>
      <c r="L42" s="621">
        <f t="shared" ref="L42:P42" si="16">$D$9</f>
        <v>0.12120535581570514</v>
      </c>
      <c r="M42" s="621">
        <f t="shared" si="16"/>
        <v>0.12120535581570514</v>
      </c>
      <c r="N42" s="621">
        <f t="shared" si="16"/>
        <v>0.12120535581570514</v>
      </c>
      <c r="O42" s="621">
        <f t="shared" si="16"/>
        <v>0.12120535581570514</v>
      </c>
      <c r="P42" s="621">
        <f t="shared" si="16"/>
        <v>0.12120535581570514</v>
      </c>
      <c r="Q42" s="624">
        <f>SUM(E42:P42)</f>
        <v>0.72723213489423089</v>
      </c>
    </row>
    <row r="43" spans="2:17">
      <c r="B43" s="599" t="s">
        <v>5</v>
      </c>
      <c r="E43" s="623"/>
      <c r="F43" s="619"/>
      <c r="G43" s="619"/>
      <c r="H43" s="619"/>
      <c r="I43" s="619"/>
      <c r="J43" s="619"/>
      <c r="K43" s="619">
        <f t="shared" ref="K43:P43" si="17">K41*K42</f>
        <v>2.3082698569790092</v>
      </c>
      <c r="L43" s="619">
        <f t="shared" si="17"/>
        <v>2.3082698569790092</v>
      </c>
      <c r="M43" s="619">
        <f t="shared" si="17"/>
        <v>2.3082698569790092</v>
      </c>
      <c r="N43" s="619">
        <f t="shared" si="17"/>
        <v>2.3082698569790092</v>
      </c>
      <c r="O43" s="619">
        <f t="shared" si="17"/>
        <v>2.3082698569790092</v>
      </c>
      <c r="P43" s="619">
        <f t="shared" si="17"/>
        <v>2.3082698569790092</v>
      </c>
      <c r="Q43" s="624">
        <f>SUM(E43:P43)</f>
        <v>13.849619141874056</v>
      </c>
    </row>
    <row r="44" spans="2:17">
      <c r="E44" s="623"/>
      <c r="F44" s="619"/>
      <c r="G44" s="619"/>
      <c r="H44" s="619"/>
      <c r="I44" s="619"/>
      <c r="J44" s="623"/>
      <c r="K44" s="619"/>
      <c r="L44" s="619"/>
      <c r="M44" s="619"/>
      <c r="N44" s="619"/>
      <c r="O44" s="619"/>
      <c r="P44" s="619"/>
      <c r="Q44" s="620"/>
    </row>
    <row r="45" spans="2:17"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20"/>
    </row>
    <row r="46" spans="2:17">
      <c r="B46" s="628" t="s">
        <v>212</v>
      </c>
      <c r="C46" s="605"/>
      <c r="E46" s="629">
        <f>E38+E43</f>
        <v>1.7801521258138227</v>
      </c>
      <c r="F46" s="629">
        <f t="shared" ref="F46:Q46" si="18">F38+F43</f>
        <v>1.7801521258138227</v>
      </c>
      <c r="G46" s="629">
        <f t="shared" si="18"/>
        <v>1.7801521258138227</v>
      </c>
      <c r="H46" s="629">
        <f t="shared" si="18"/>
        <v>1.7801521258138227</v>
      </c>
      <c r="I46" s="629">
        <f t="shared" si="18"/>
        <v>1.7801521258138227</v>
      </c>
      <c r="J46" s="629">
        <f t="shared" si="18"/>
        <v>1.7801521258138227</v>
      </c>
      <c r="K46" s="629">
        <f t="shared" si="18"/>
        <v>2.3082698569790092</v>
      </c>
      <c r="L46" s="629">
        <f t="shared" si="18"/>
        <v>2.3082698569790092</v>
      </c>
      <c r="M46" s="629">
        <f t="shared" si="18"/>
        <v>2.3082698569790092</v>
      </c>
      <c r="N46" s="629">
        <f t="shared" si="18"/>
        <v>2.3082698569790092</v>
      </c>
      <c r="O46" s="629">
        <f t="shared" si="18"/>
        <v>2.3082698569790092</v>
      </c>
      <c r="P46" s="629">
        <f t="shared" si="18"/>
        <v>2.3082698569790092</v>
      </c>
      <c r="Q46" s="629">
        <f t="shared" si="18"/>
        <v>24.53053189675699</v>
      </c>
    </row>
    <row r="47" spans="2:17">
      <c r="J47" s="619"/>
    </row>
    <row r="48" spans="2:17">
      <c r="B48" s="630" t="s">
        <v>213</v>
      </c>
      <c r="E48" s="631">
        <f>SUM(E46:P46)</f>
        <v>24.530531896756994</v>
      </c>
      <c r="J48" s="619"/>
    </row>
    <row r="49" spans="2:17">
      <c r="B49" s="604" t="s">
        <v>214</v>
      </c>
      <c r="C49" s="604"/>
      <c r="D49" s="632"/>
      <c r="E49" s="646">
        <f>D8</f>
        <v>1.4544642697884618</v>
      </c>
      <c r="F49" s="633"/>
      <c r="G49" s="604"/>
      <c r="H49" s="604"/>
      <c r="I49" s="633"/>
      <c r="J49" s="635"/>
      <c r="K49" s="636"/>
      <c r="L49" s="636"/>
      <c r="M49" s="636"/>
      <c r="N49" s="636"/>
      <c r="O49" s="636"/>
      <c r="P49" s="636"/>
      <c r="Q49" s="604"/>
    </row>
    <row r="50" spans="2:17">
      <c r="B50" s="637" t="s">
        <v>215</v>
      </c>
      <c r="C50" s="604"/>
      <c r="D50" s="632"/>
      <c r="E50" s="638">
        <f>E48/E49</f>
        <v>16.865682028974646</v>
      </c>
      <c r="F50" s="604"/>
      <c r="G50" s="604"/>
      <c r="H50" s="604"/>
      <c r="I50" s="633"/>
      <c r="J50" s="635"/>
      <c r="K50" s="636"/>
      <c r="L50" s="636"/>
      <c r="M50" s="636"/>
      <c r="N50" s="636"/>
      <c r="O50" s="636"/>
      <c r="P50" s="636"/>
      <c r="Q50" s="604"/>
    </row>
    <row r="51" spans="2:17">
      <c r="B51" s="637"/>
      <c r="C51" s="604"/>
      <c r="D51" s="632"/>
      <c r="E51" s="642"/>
      <c r="F51" s="604"/>
      <c r="G51" s="604"/>
      <c r="H51" s="604"/>
      <c r="I51" s="633"/>
      <c r="J51" s="635"/>
      <c r="K51" s="636"/>
      <c r="L51" s="636"/>
      <c r="M51" s="636"/>
      <c r="N51" s="636"/>
      <c r="O51" s="636"/>
      <c r="P51" s="636"/>
      <c r="Q51" s="604"/>
    </row>
    <row r="52" spans="2:17">
      <c r="B52" s="603" t="s">
        <v>269</v>
      </c>
      <c r="C52" s="617"/>
      <c r="E52" s="643">
        <f>$D$13</f>
        <v>8.9072040000000001</v>
      </c>
      <c r="F52" s="643">
        <f t="shared" ref="F52:J52" si="19">$D$13</f>
        <v>8.9072040000000001</v>
      </c>
      <c r="G52" s="643">
        <f t="shared" si="19"/>
        <v>8.9072040000000001</v>
      </c>
      <c r="H52" s="643">
        <f t="shared" si="19"/>
        <v>8.9072040000000001</v>
      </c>
      <c r="I52" s="643">
        <f t="shared" si="19"/>
        <v>8.9072040000000001</v>
      </c>
      <c r="J52" s="643">
        <f t="shared" si="19"/>
        <v>8.9072040000000001</v>
      </c>
      <c r="K52" s="619"/>
      <c r="L52" s="619"/>
      <c r="M52" s="619"/>
      <c r="N52" s="619"/>
      <c r="O52" s="619"/>
      <c r="P52" s="619"/>
      <c r="Q52" s="620">
        <f>J52</f>
        <v>8.9072040000000001</v>
      </c>
    </row>
    <row r="53" spans="2:17">
      <c r="B53" s="599" t="s">
        <v>265</v>
      </c>
      <c r="E53" s="640">
        <f>$D$16</f>
        <v>3.6377152833333384E-2</v>
      </c>
      <c r="F53" s="640">
        <f t="shared" ref="F53:J53" si="20">$D$16</f>
        <v>3.6377152833333384E-2</v>
      </c>
      <c r="G53" s="640">
        <f t="shared" si="20"/>
        <v>3.6377152833333384E-2</v>
      </c>
      <c r="H53" s="640">
        <f t="shared" si="20"/>
        <v>3.6377152833333384E-2</v>
      </c>
      <c r="I53" s="640">
        <f t="shared" si="20"/>
        <v>3.6377152833333384E-2</v>
      </c>
      <c r="J53" s="640">
        <f t="shared" si="20"/>
        <v>3.6377152833333384E-2</v>
      </c>
      <c r="K53" s="641"/>
      <c r="L53" s="641"/>
      <c r="M53" s="641"/>
      <c r="N53" s="641"/>
      <c r="O53" s="641"/>
      <c r="P53" s="641"/>
      <c r="Q53" s="620">
        <f>SUM(E53:P53)</f>
        <v>0.21826291700000028</v>
      </c>
    </row>
    <row r="54" spans="2:17">
      <c r="B54" s="599" t="s">
        <v>210</v>
      </c>
      <c r="E54" s="623">
        <f>E52*E53</f>
        <v>0.32401872122567849</v>
      </c>
      <c r="F54" s="623">
        <f t="shared" ref="F54:J54" si="21">F52*F53</f>
        <v>0.32401872122567849</v>
      </c>
      <c r="G54" s="623">
        <f t="shared" si="21"/>
        <v>0.32401872122567849</v>
      </c>
      <c r="H54" s="623">
        <f t="shared" si="21"/>
        <v>0.32401872122567849</v>
      </c>
      <c r="I54" s="623">
        <f t="shared" si="21"/>
        <v>0.32401872122567849</v>
      </c>
      <c r="J54" s="623">
        <f t="shared" si="21"/>
        <v>0.32401872122567849</v>
      </c>
      <c r="K54" s="619"/>
      <c r="L54" s="619"/>
      <c r="M54" s="619"/>
      <c r="N54" s="619"/>
      <c r="O54" s="619"/>
      <c r="P54" s="619"/>
      <c r="Q54" s="624">
        <f>SUM(E54:P54)</f>
        <v>1.9441123273540708</v>
      </c>
    </row>
    <row r="55" spans="2:17">
      <c r="D55" s="625"/>
      <c r="E55" s="623"/>
      <c r="F55" s="619"/>
      <c r="G55" s="619"/>
      <c r="H55" s="619"/>
      <c r="I55" s="619"/>
      <c r="J55" s="619"/>
      <c r="K55" s="619"/>
      <c r="L55" s="619"/>
      <c r="M55" s="619"/>
      <c r="N55" s="619"/>
      <c r="O55" s="619"/>
      <c r="P55" s="619"/>
      <c r="Q55" s="620"/>
    </row>
    <row r="56" spans="2:17">
      <c r="B56" s="603" t="s">
        <v>222</v>
      </c>
      <c r="D56" s="625"/>
      <c r="E56" s="623"/>
      <c r="F56" s="619"/>
      <c r="G56" s="619"/>
      <c r="H56" s="619"/>
      <c r="I56" s="619"/>
      <c r="J56" s="619"/>
      <c r="K56" s="619"/>
      <c r="L56" s="619"/>
      <c r="M56" s="619"/>
      <c r="N56" s="619"/>
      <c r="O56" s="619"/>
      <c r="P56" s="619"/>
      <c r="Q56" s="626" t="s">
        <v>211</v>
      </c>
    </row>
    <row r="57" spans="2:17">
      <c r="B57" s="603" t="s">
        <v>223</v>
      </c>
      <c r="E57" s="623"/>
      <c r="F57" s="619"/>
      <c r="G57" s="619"/>
      <c r="H57" s="619"/>
      <c r="I57" s="619"/>
      <c r="J57" s="618"/>
      <c r="K57" s="618">
        <f>$D$14</f>
        <v>11.549704210679998</v>
      </c>
      <c r="L57" s="618">
        <f t="shared" ref="L57:P57" si="22">$D$14</f>
        <v>11.549704210679998</v>
      </c>
      <c r="M57" s="618">
        <f t="shared" si="22"/>
        <v>11.549704210679998</v>
      </c>
      <c r="N57" s="618">
        <f t="shared" si="22"/>
        <v>11.549704210679998</v>
      </c>
      <c r="O57" s="618">
        <f t="shared" si="22"/>
        <v>11.549704210679998</v>
      </c>
      <c r="P57" s="618">
        <f t="shared" si="22"/>
        <v>11.549704210679998</v>
      </c>
      <c r="Q57" s="618">
        <f>P57</f>
        <v>11.549704210679998</v>
      </c>
    </row>
    <row r="58" spans="2:17">
      <c r="B58" s="599" t="s">
        <v>221</v>
      </c>
      <c r="E58" s="627"/>
      <c r="F58" s="622"/>
      <c r="G58" s="622"/>
      <c r="H58" s="622"/>
      <c r="I58" s="622"/>
      <c r="J58" s="621"/>
      <c r="K58" s="621">
        <f>$D$16</f>
        <v>3.6377152833333384E-2</v>
      </c>
      <c r="L58" s="621">
        <f t="shared" ref="L58:P58" si="23">$D$16</f>
        <v>3.6377152833333384E-2</v>
      </c>
      <c r="M58" s="621">
        <f t="shared" si="23"/>
        <v>3.6377152833333384E-2</v>
      </c>
      <c r="N58" s="621">
        <f t="shared" si="23"/>
        <v>3.6377152833333384E-2</v>
      </c>
      <c r="O58" s="621">
        <f t="shared" si="23"/>
        <v>3.6377152833333384E-2</v>
      </c>
      <c r="P58" s="621">
        <f t="shared" si="23"/>
        <v>3.6377152833333384E-2</v>
      </c>
      <c r="Q58" s="624">
        <f>SUM(E58:P58)</f>
        <v>0.21826291700000028</v>
      </c>
    </row>
    <row r="59" spans="2:17">
      <c r="B59" s="599" t="s">
        <v>5</v>
      </c>
      <c r="E59" s="623"/>
      <c r="F59" s="619"/>
      <c r="G59" s="619"/>
      <c r="H59" s="619"/>
      <c r="I59" s="619"/>
      <c r="J59" s="619"/>
      <c r="K59" s="619">
        <f t="shared" ref="K59:P59" si="24">K57*K58</f>
        <v>0.42014535525170044</v>
      </c>
      <c r="L59" s="619">
        <f t="shared" si="24"/>
        <v>0.42014535525170044</v>
      </c>
      <c r="M59" s="619">
        <f t="shared" si="24"/>
        <v>0.42014535525170044</v>
      </c>
      <c r="N59" s="619">
        <f t="shared" si="24"/>
        <v>0.42014535525170044</v>
      </c>
      <c r="O59" s="619">
        <f t="shared" si="24"/>
        <v>0.42014535525170044</v>
      </c>
      <c r="P59" s="619">
        <f t="shared" si="24"/>
        <v>0.42014535525170044</v>
      </c>
      <c r="Q59" s="624">
        <f>SUM(E59:P59)</f>
        <v>2.5208721315102025</v>
      </c>
    </row>
    <row r="60" spans="2:17">
      <c r="E60" s="623"/>
      <c r="F60" s="619"/>
      <c r="G60" s="619"/>
      <c r="H60" s="619"/>
      <c r="I60" s="619"/>
      <c r="J60" s="623"/>
      <c r="K60" s="619"/>
      <c r="L60" s="619"/>
      <c r="M60" s="619"/>
      <c r="N60" s="619"/>
      <c r="O60" s="619"/>
      <c r="P60" s="619"/>
      <c r="Q60" s="620"/>
    </row>
    <row r="61" spans="2:17">
      <c r="E61" s="619"/>
      <c r="F61" s="619"/>
      <c r="G61" s="619"/>
      <c r="H61" s="619"/>
      <c r="I61" s="619"/>
      <c r="J61" s="619"/>
      <c r="K61" s="619"/>
      <c r="L61" s="619"/>
      <c r="M61" s="619"/>
      <c r="N61" s="619"/>
      <c r="O61" s="619"/>
      <c r="P61" s="619"/>
      <c r="Q61" s="620"/>
    </row>
    <row r="62" spans="2:17">
      <c r="B62" s="628" t="s">
        <v>212</v>
      </c>
      <c r="C62" s="605"/>
      <c r="E62" s="629">
        <f>E54+E59</f>
        <v>0.32401872122567849</v>
      </c>
      <c r="F62" s="629">
        <f t="shared" ref="F62:Q62" si="25">F54+F59</f>
        <v>0.32401872122567849</v>
      </c>
      <c r="G62" s="629">
        <f t="shared" si="25"/>
        <v>0.32401872122567849</v>
      </c>
      <c r="H62" s="629">
        <f t="shared" si="25"/>
        <v>0.32401872122567849</v>
      </c>
      <c r="I62" s="629">
        <f t="shared" si="25"/>
        <v>0.32401872122567849</v>
      </c>
      <c r="J62" s="629">
        <f t="shared" si="25"/>
        <v>0.32401872122567849</v>
      </c>
      <c r="K62" s="629">
        <f t="shared" si="25"/>
        <v>0.42014535525170044</v>
      </c>
      <c r="L62" s="629">
        <f t="shared" si="25"/>
        <v>0.42014535525170044</v>
      </c>
      <c r="M62" s="629">
        <f t="shared" si="25"/>
        <v>0.42014535525170044</v>
      </c>
      <c r="N62" s="629">
        <f t="shared" si="25"/>
        <v>0.42014535525170044</v>
      </c>
      <c r="O62" s="629">
        <f t="shared" si="25"/>
        <v>0.42014535525170044</v>
      </c>
      <c r="P62" s="629">
        <f t="shared" si="25"/>
        <v>0.42014535525170044</v>
      </c>
      <c r="Q62" s="629">
        <f t="shared" si="25"/>
        <v>4.4649844588642731</v>
      </c>
    </row>
    <row r="63" spans="2:17">
      <c r="J63" s="619"/>
    </row>
    <row r="64" spans="2:17">
      <c r="B64" s="630" t="s">
        <v>213</v>
      </c>
      <c r="E64" s="631">
        <f>SUM(E62:P62)</f>
        <v>4.4649844588642731</v>
      </c>
      <c r="J64" s="619"/>
    </row>
    <row r="65" spans="2:17">
      <c r="B65" s="604" t="s">
        <v>214</v>
      </c>
      <c r="C65" s="604"/>
      <c r="D65" s="632"/>
      <c r="E65" s="646">
        <f>D15</f>
        <v>0.43652583400000061</v>
      </c>
      <c r="F65" s="633"/>
      <c r="G65" s="604"/>
      <c r="H65" s="604"/>
      <c r="I65" s="633"/>
      <c r="J65" s="635"/>
      <c r="K65" s="636"/>
      <c r="L65" s="636"/>
      <c r="M65" s="636"/>
      <c r="N65" s="636"/>
      <c r="O65" s="636"/>
      <c r="P65" s="636"/>
      <c r="Q65" s="604"/>
    </row>
    <row r="66" spans="2:17">
      <c r="B66" s="637" t="s">
        <v>215</v>
      </c>
      <c r="C66" s="604"/>
      <c r="D66" s="632"/>
      <c r="E66" s="638">
        <f>E64/E65</f>
        <v>10.228454105339999</v>
      </c>
      <c r="F66" s="604"/>
      <c r="G66" s="604"/>
      <c r="H66" s="604"/>
      <c r="I66" s="633"/>
      <c r="J66" s="635"/>
      <c r="K66" s="636"/>
      <c r="L66" s="636"/>
      <c r="M66" s="636"/>
      <c r="N66" s="636"/>
      <c r="O66" s="636"/>
      <c r="P66" s="636"/>
      <c r="Q66" s="604"/>
    </row>
    <row r="67" spans="2:17">
      <c r="B67" s="637"/>
      <c r="C67" s="604"/>
      <c r="D67" s="632"/>
      <c r="E67" s="642"/>
      <c r="F67" s="604"/>
      <c r="G67" s="604"/>
      <c r="H67" s="604"/>
      <c r="I67" s="633"/>
      <c r="J67" s="635"/>
      <c r="K67" s="636"/>
      <c r="L67" s="636"/>
      <c r="M67" s="636"/>
      <c r="N67" s="636"/>
      <c r="O67" s="636"/>
      <c r="P67" s="636"/>
      <c r="Q67" s="604"/>
    </row>
    <row r="68" spans="2:17">
      <c r="B68" s="637"/>
      <c r="C68" s="604"/>
      <c r="D68" s="632"/>
      <c r="E68" s="642"/>
      <c r="F68" s="604"/>
      <c r="G68" s="604"/>
      <c r="H68" s="604"/>
      <c r="I68" s="633"/>
      <c r="J68" s="635"/>
      <c r="K68" s="636"/>
      <c r="L68" s="636"/>
      <c r="M68" s="636"/>
      <c r="N68" s="636"/>
      <c r="O68" s="636"/>
      <c r="P68" s="636"/>
      <c r="Q68" s="604"/>
    </row>
    <row r="69" spans="2:17">
      <c r="B69" s="637"/>
      <c r="C69" s="604"/>
      <c r="D69" s="632"/>
      <c r="E69" s="642"/>
      <c r="F69" s="604"/>
      <c r="G69" s="604"/>
      <c r="H69" s="604"/>
      <c r="I69" s="633"/>
      <c r="J69" s="635"/>
      <c r="K69" s="636"/>
      <c r="L69" s="636"/>
      <c r="M69" s="636"/>
      <c r="N69" s="636"/>
      <c r="O69" s="636"/>
      <c r="P69" s="636"/>
      <c r="Q69" s="604"/>
    </row>
    <row r="70" spans="2:17">
      <c r="B70" s="637"/>
      <c r="C70" s="604"/>
      <c r="D70" s="632"/>
      <c r="E70" s="642"/>
      <c r="F70" s="604"/>
      <c r="G70" s="604"/>
      <c r="H70" s="604"/>
      <c r="I70" s="633"/>
      <c r="J70" s="635"/>
      <c r="K70" s="636"/>
      <c r="L70" s="636"/>
      <c r="M70" s="636"/>
      <c r="N70" s="636"/>
      <c r="O70" s="636"/>
      <c r="P70" s="636"/>
      <c r="Q70" s="604"/>
    </row>
    <row r="71" spans="2:17">
      <c r="B71" s="612" t="s">
        <v>219</v>
      </c>
      <c r="C71" s="612"/>
      <c r="D71" s="613"/>
      <c r="E71" s="601">
        <f>E$1</f>
        <v>41821</v>
      </c>
      <c r="F71" s="601">
        <f t="shared" ref="F71:P71" si="26">E71+31</f>
        <v>41852</v>
      </c>
      <c r="G71" s="601">
        <f t="shared" si="26"/>
        <v>41883</v>
      </c>
      <c r="H71" s="601">
        <f t="shared" si="26"/>
        <v>41914</v>
      </c>
      <c r="I71" s="601">
        <f t="shared" si="26"/>
        <v>41945</v>
      </c>
      <c r="J71" s="601">
        <f t="shared" si="26"/>
        <v>41976</v>
      </c>
      <c r="K71" s="601">
        <f t="shared" si="26"/>
        <v>42007</v>
      </c>
      <c r="L71" s="601">
        <f t="shared" si="26"/>
        <v>42038</v>
      </c>
      <c r="M71" s="601">
        <f t="shared" si="26"/>
        <v>42069</v>
      </c>
      <c r="N71" s="601">
        <f t="shared" si="26"/>
        <v>42100</v>
      </c>
      <c r="O71" s="601">
        <f t="shared" si="26"/>
        <v>42131</v>
      </c>
      <c r="P71" s="601">
        <f t="shared" si="26"/>
        <v>42162</v>
      </c>
      <c r="Q71" s="602" t="s">
        <v>23</v>
      </c>
    </row>
    <row r="72" spans="2:17">
      <c r="B72" s="614"/>
      <c r="C72" s="614"/>
      <c r="D72" s="615"/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  <c r="P72" s="614"/>
      <c r="Q72" s="616" t="s">
        <v>209</v>
      </c>
    </row>
    <row r="73" spans="2:17">
      <c r="B73" s="603" t="s">
        <v>220</v>
      </c>
      <c r="C73" s="617"/>
      <c r="E73" s="643">
        <f t="shared" ref="E73:J73" si="27">$D$21</f>
        <v>6.0461577999999987</v>
      </c>
      <c r="F73" s="643">
        <f t="shared" si="27"/>
        <v>6.0461577999999987</v>
      </c>
      <c r="G73" s="643">
        <f t="shared" si="27"/>
        <v>6.0461577999999987</v>
      </c>
      <c r="H73" s="643">
        <f t="shared" si="27"/>
        <v>6.0461577999999987</v>
      </c>
      <c r="I73" s="643">
        <f t="shared" si="27"/>
        <v>6.0461577999999987</v>
      </c>
      <c r="J73" s="643">
        <f t="shared" si="27"/>
        <v>6.0461577999999987</v>
      </c>
      <c r="K73" s="619"/>
      <c r="L73" s="619"/>
      <c r="M73" s="619"/>
      <c r="N73" s="619"/>
      <c r="O73" s="619"/>
      <c r="P73" s="619"/>
      <c r="Q73" s="620">
        <f>J78</f>
        <v>0</v>
      </c>
    </row>
    <row r="74" spans="2:17">
      <c r="B74" s="599" t="s">
        <v>218</v>
      </c>
      <c r="E74" s="640">
        <f t="shared" ref="E74:J74" si="28">$D$24</f>
        <v>0.16631750000000001</v>
      </c>
      <c r="F74" s="640">
        <f t="shared" si="28"/>
        <v>0.16631750000000001</v>
      </c>
      <c r="G74" s="640">
        <f t="shared" si="28"/>
        <v>0.16631750000000001</v>
      </c>
      <c r="H74" s="640">
        <f t="shared" si="28"/>
        <v>0.16631750000000001</v>
      </c>
      <c r="I74" s="640">
        <f t="shared" si="28"/>
        <v>0.16631750000000001</v>
      </c>
      <c r="J74" s="640">
        <f t="shared" si="28"/>
        <v>0.16631750000000001</v>
      </c>
      <c r="K74" s="641"/>
      <c r="L74" s="641"/>
      <c r="M74" s="641"/>
      <c r="N74" s="641"/>
      <c r="O74" s="641"/>
      <c r="P74" s="641"/>
      <c r="Q74" s="620">
        <f>SUM(E74:P74)</f>
        <v>0.99790500000000004</v>
      </c>
    </row>
    <row r="75" spans="2:17">
      <c r="B75" s="599" t="s">
        <v>210</v>
      </c>
      <c r="E75" s="623">
        <f t="shared" ref="E75:J75" si="29">E73*E74</f>
        <v>1.0055818499014999</v>
      </c>
      <c r="F75" s="623">
        <f t="shared" si="29"/>
        <v>1.0055818499014999</v>
      </c>
      <c r="G75" s="623">
        <f t="shared" si="29"/>
        <v>1.0055818499014999</v>
      </c>
      <c r="H75" s="623">
        <f t="shared" si="29"/>
        <v>1.0055818499014999</v>
      </c>
      <c r="I75" s="623">
        <f t="shared" si="29"/>
        <v>1.0055818499014999</v>
      </c>
      <c r="J75" s="623">
        <f t="shared" si="29"/>
        <v>1.0055818499014999</v>
      </c>
      <c r="K75" s="619"/>
      <c r="L75" s="619"/>
      <c r="M75" s="619"/>
      <c r="N75" s="619"/>
      <c r="O75" s="619"/>
      <c r="P75" s="619"/>
      <c r="Q75" s="624">
        <f>SUM(E75:P75)</f>
        <v>6.033491099408999</v>
      </c>
    </row>
    <row r="76" spans="2:17">
      <c r="D76" s="625"/>
      <c r="E76" s="623"/>
      <c r="F76" s="619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20"/>
    </row>
    <row r="77" spans="2:17">
      <c r="B77" s="603" t="s">
        <v>222</v>
      </c>
      <c r="D77" s="625"/>
      <c r="E77" s="623"/>
      <c r="F77" s="619"/>
      <c r="G77" s="619"/>
      <c r="H77" s="619"/>
      <c r="I77" s="619"/>
      <c r="J77" s="619"/>
      <c r="K77" s="619"/>
      <c r="L77" s="619"/>
      <c r="M77" s="619"/>
      <c r="N77" s="619"/>
      <c r="O77" s="619"/>
      <c r="P77" s="619"/>
      <c r="Q77" s="626" t="s">
        <v>211</v>
      </c>
    </row>
    <row r="78" spans="2:17">
      <c r="B78" s="603" t="s">
        <v>223</v>
      </c>
      <c r="E78" s="623"/>
      <c r="F78" s="619"/>
      <c r="G78" s="619"/>
      <c r="H78" s="619"/>
      <c r="I78" s="619"/>
      <c r="J78" s="618"/>
      <c r="K78" s="618">
        <f t="shared" ref="K78:Q78" si="30">$D$22</f>
        <v>8.3337216036299981</v>
      </c>
      <c r="L78" s="618">
        <f t="shared" si="30"/>
        <v>8.3337216036299981</v>
      </c>
      <c r="M78" s="618">
        <f t="shared" si="30"/>
        <v>8.3337216036299981</v>
      </c>
      <c r="N78" s="618">
        <f t="shared" si="30"/>
        <v>8.3337216036299981</v>
      </c>
      <c r="O78" s="618">
        <f t="shared" si="30"/>
        <v>8.3337216036299981</v>
      </c>
      <c r="P78" s="618">
        <f t="shared" si="30"/>
        <v>8.3337216036299981</v>
      </c>
      <c r="Q78" s="618">
        <f t="shared" si="30"/>
        <v>8.3337216036299981</v>
      </c>
    </row>
    <row r="79" spans="2:17">
      <c r="B79" s="599" t="s">
        <v>221</v>
      </c>
      <c r="E79" s="627"/>
      <c r="F79" s="622"/>
      <c r="G79" s="622"/>
      <c r="H79" s="622"/>
      <c r="I79" s="622"/>
      <c r="J79" s="621"/>
      <c r="K79" s="621">
        <f t="shared" ref="K79:P79" si="31">$D$24</f>
        <v>0.16631750000000001</v>
      </c>
      <c r="L79" s="621">
        <f t="shared" si="31"/>
        <v>0.16631750000000001</v>
      </c>
      <c r="M79" s="621">
        <f t="shared" si="31"/>
        <v>0.16631750000000001</v>
      </c>
      <c r="N79" s="621">
        <f t="shared" si="31"/>
        <v>0.16631750000000001</v>
      </c>
      <c r="O79" s="621">
        <f t="shared" si="31"/>
        <v>0.16631750000000001</v>
      </c>
      <c r="P79" s="621">
        <f t="shared" si="31"/>
        <v>0.16631750000000001</v>
      </c>
      <c r="Q79" s="620">
        <f>SUM(J79:P79)</f>
        <v>0.99790500000000004</v>
      </c>
    </row>
    <row r="80" spans="2:17">
      <c r="B80" s="599" t="s">
        <v>5</v>
      </c>
      <c r="E80" s="623"/>
      <c r="F80" s="619"/>
      <c r="G80" s="619"/>
      <c r="H80" s="619"/>
      <c r="I80" s="619"/>
      <c r="J80" s="619"/>
      <c r="K80" s="619">
        <f t="shared" ref="K80:P80" si="32">K78*K79</f>
        <v>1.3860437428117323</v>
      </c>
      <c r="L80" s="619">
        <f t="shared" si="32"/>
        <v>1.3860437428117323</v>
      </c>
      <c r="M80" s="619">
        <f t="shared" si="32"/>
        <v>1.3860437428117323</v>
      </c>
      <c r="N80" s="619">
        <f t="shared" si="32"/>
        <v>1.3860437428117323</v>
      </c>
      <c r="O80" s="619">
        <f t="shared" si="32"/>
        <v>1.3860437428117323</v>
      </c>
      <c r="P80" s="619">
        <f t="shared" si="32"/>
        <v>1.3860437428117323</v>
      </c>
      <c r="Q80" s="624">
        <f>SUM(J80:P80)</f>
        <v>8.316262456870394</v>
      </c>
    </row>
    <row r="81" spans="2:17">
      <c r="E81" s="623"/>
      <c r="F81" s="619"/>
      <c r="G81" s="619"/>
      <c r="H81" s="619"/>
      <c r="I81" s="619"/>
      <c r="J81" s="623"/>
      <c r="K81" s="619"/>
      <c r="L81" s="619"/>
      <c r="M81" s="619"/>
      <c r="N81" s="619"/>
      <c r="O81" s="619"/>
      <c r="P81" s="619"/>
      <c r="Q81" s="620"/>
    </row>
    <row r="82" spans="2:17">
      <c r="E82" s="619"/>
      <c r="F82" s="619"/>
      <c r="G82" s="619"/>
      <c r="H82" s="619"/>
      <c r="I82" s="619"/>
      <c r="J82" s="619"/>
      <c r="K82" s="619"/>
      <c r="L82" s="619"/>
      <c r="M82" s="619"/>
      <c r="N82" s="619"/>
      <c r="O82" s="619"/>
      <c r="P82" s="619"/>
      <c r="Q82" s="620"/>
    </row>
    <row r="83" spans="2:17">
      <c r="B83" s="628" t="s">
        <v>212</v>
      </c>
      <c r="C83" s="605"/>
      <c r="E83" s="629">
        <f>E75+E80</f>
        <v>1.0055818499014999</v>
      </c>
      <c r="F83" s="629">
        <f t="shared" ref="F83:Q83" si="33">F75+F80</f>
        <v>1.0055818499014999</v>
      </c>
      <c r="G83" s="629">
        <f t="shared" si="33"/>
        <v>1.0055818499014999</v>
      </c>
      <c r="H83" s="629">
        <f t="shared" si="33"/>
        <v>1.0055818499014999</v>
      </c>
      <c r="I83" s="629">
        <f t="shared" si="33"/>
        <v>1.0055818499014999</v>
      </c>
      <c r="J83" s="629">
        <f t="shared" si="33"/>
        <v>1.0055818499014999</v>
      </c>
      <c r="K83" s="629">
        <f t="shared" si="33"/>
        <v>1.3860437428117323</v>
      </c>
      <c r="L83" s="629">
        <f t="shared" si="33"/>
        <v>1.3860437428117323</v>
      </c>
      <c r="M83" s="629">
        <f t="shared" si="33"/>
        <v>1.3860437428117323</v>
      </c>
      <c r="N83" s="629">
        <f t="shared" si="33"/>
        <v>1.3860437428117323</v>
      </c>
      <c r="O83" s="629">
        <f t="shared" si="33"/>
        <v>1.3860437428117323</v>
      </c>
      <c r="P83" s="629">
        <f t="shared" si="33"/>
        <v>1.3860437428117323</v>
      </c>
      <c r="Q83" s="629">
        <f t="shared" si="33"/>
        <v>14.349753556279392</v>
      </c>
    </row>
    <row r="84" spans="2:17">
      <c r="J84" s="619"/>
    </row>
    <row r="85" spans="2:17">
      <c r="B85" s="630" t="s">
        <v>213</v>
      </c>
      <c r="E85" s="631">
        <f>SUM(E83:P83)</f>
        <v>14.349753556279396</v>
      </c>
      <c r="J85" s="619"/>
    </row>
    <row r="86" spans="2:17">
      <c r="B86" s="604" t="s">
        <v>214</v>
      </c>
      <c r="C86" s="604"/>
      <c r="D86" s="632"/>
      <c r="E86" s="645">
        <f>D23</f>
        <v>1.9958100000000001</v>
      </c>
      <c r="F86" s="633"/>
      <c r="G86" s="604"/>
      <c r="H86" s="604"/>
      <c r="I86" s="633"/>
      <c r="J86" s="635"/>
      <c r="K86" s="636"/>
      <c r="L86" s="636"/>
      <c r="M86" s="636"/>
      <c r="N86" s="636"/>
      <c r="O86" s="636"/>
      <c r="P86" s="636"/>
      <c r="Q86" s="604"/>
    </row>
    <row r="87" spans="2:17">
      <c r="B87" s="637" t="s">
        <v>215</v>
      </c>
      <c r="C87" s="604"/>
      <c r="D87" s="632"/>
      <c r="E87" s="638">
        <f>E85/E86</f>
        <v>7.1899397018149998</v>
      </c>
      <c r="F87" s="604"/>
      <c r="G87" s="604"/>
      <c r="H87" s="604"/>
      <c r="I87" s="633"/>
      <c r="J87" s="635"/>
      <c r="K87" s="636"/>
      <c r="L87" s="636"/>
      <c r="M87" s="636"/>
      <c r="N87" s="636"/>
      <c r="O87" s="636"/>
      <c r="P87" s="636"/>
      <c r="Q87" s="604"/>
    </row>
    <row r="88" spans="2:17">
      <c r="B88" s="604"/>
      <c r="C88" s="604"/>
      <c r="D88" s="632"/>
      <c r="E88" s="633"/>
      <c r="F88" s="604"/>
      <c r="G88" s="604"/>
      <c r="H88" s="604"/>
      <c r="I88" s="604"/>
      <c r="J88" s="604"/>
      <c r="K88" s="604"/>
      <c r="L88" s="604"/>
      <c r="M88" s="634"/>
      <c r="N88" s="604"/>
      <c r="O88" s="604"/>
      <c r="P88" s="604"/>
      <c r="Q88" s="604"/>
    </row>
    <row r="90" spans="2:17">
      <c r="B90" s="612" t="s">
        <v>224</v>
      </c>
      <c r="C90" s="612"/>
      <c r="D90" s="613"/>
      <c r="E90" s="601">
        <f>E$1</f>
        <v>41821</v>
      </c>
      <c r="F90" s="601">
        <f t="shared" ref="F90:P90" si="34">E90+31</f>
        <v>41852</v>
      </c>
      <c r="G90" s="601">
        <f t="shared" si="34"/>
        <v>41883</v>
      </c>
      <c r="H90" s="601">
        <f t="shared" si="34"/>
        <v>41914</v>
      </c>
      <c r="I90" s="601">
        <f t="shared" si="34"/>
        <v>41945</v>
      </c>
      <c r="J90" s="601">
        <f t="shared" si="34"/>
        <v>41976</v>
      </c>
      <c r="K90" s="601">
        <f t="shared" si="34"/>
        <v>42007</v>
      </c>
      <c r="L90" s="601">
        <f t="shared" si="34"/>
        <v>42038</v>
      </c>
      <c r="M90" s="601">
        <f t="shared" si="34"/>
        <v>42069</v>
      </c>
      <c r="N90" s="601">
        <f t="shared" si="34"/>
        <v>42100</v>
      </c>
      <c r="O90" s="601">
        <f t="shared" si="34"/>
        <v>42131</v>
      </c>
      <c r="P90" s="601">
        <f t="shared" si="34"/>
        <v>42162</v>
      </c>
      <c r="Q90" s="602" t="s">
        <v>23</v>
      </c>
    </row>
    <row r="91" spans="2:17">
      <c r="B91" s="614"/>
      <c r="C91" s="614"/>
      <c r="D91" s="615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  <c r="P91" s="614"/>
      <c r="Q91" s="616" t="s">
        <v>209</v>
      </c>
    </row>
    <row r="92" spans="2:17">
      <c r="B92" s="603" t="s">
        <v>220</v>
      </c>
      <c r="C92" s="617"/>
      <c r="E92" s="639">
        <f>$D$29</f>
        <v>1.9389402599999999</v>
      </c>
      <c r="F92" s="639">
        <f t="shared" ref="F92:J92" si="35">$D$29</f>
        <v>1.9389402599999999</v>
      </c>
      <c r="G92" s="639">
        <f t="shared" si="35"/>
        <v>1.9389402599999999</v>
      </c>
      <c r="H92" s="639">
        <f t="shared" si="35"/>
        <v>1.9389402599999999</v>
      </c>
      <c r="I92" s="639">
        <f t="shared" si="35"/>
        <v>1.9389402599999999</v>
      </c>
      <c r="J92" s="639">
        <f t="shared" si="35"/>
        <v>1.9389402599999999</v>
      </c>
      <c r="K92" s="619"/>
      <c r="L92" s="619"/>
      <c r="M92" s="619"/>
      <c r="N92" s="619"/>
      <c r="O92" s="619"/>
      <c r="P92" s="619"/>
      <c r="Q92" s="620">
        <f>J97</f>
        <v>0</v>
      </c>
    </row>
    <row r="93" spans="2:17">
      <c r="B93" s="599" t="s">
        <v>218</v>
      </c>
      <c r="E93" s="640">
        <f t="shared" ref="E93:J93" si="36">$D$32</f>
        <v>9.1357416666666677E-2</v>
      </c>
      <c r="F93" s="640">
        <f t="shared" si="36"/>
        <v>9.1357416666666677E-2</v>
      </c>
      <c r="G93" s="640">
        <f t="shared" si="36"/>
        <v>9.1357416666666677E-2</v>
      </c>
      <c r="H93" s="640">
        <f t="shared" si="36"/>
        <v>9.1357416666666677E-2</v>
      </c>
      <c r="I93" s="640">
        <f t="shared" si="36"/>
        <v>9.1357416666666677E-2</v>
      </c>
      <c r="J93" s="640">
        <f t="shared" si="36"/>
        <v>9.1357416666666677E-2</v>
      </c>
      <c r="K93" s="641"/>
      <c r="L93" s="641"/>
      <c r="M93" s="641"/>
      <c r="N93" s="641"/>
      <c r="O93" s="641"/>
      <c r="P93" s="641"/>
      <c r="Q93" s="620">
        <f>SUM(E93:P93)</f>
        <v>0.54814450000000003</v>
      </c>
    </row>
    <row r="94" spans="2:17">
      <c r="B94" s="599" t="s">
        <v>210</v>
      </c>
      <c r="E94" s="623">
        <f t="shared" ref="E94:J94" si="37">E92*E93</f>
        <v>0.177136573224595</v>
      </c>
      <c r="F94" s="623">
        <f t="shared" si="37"/>
        <v>0.177136573224595</v>
      </c>
      <c r="G94" s="623">
        <f t="shared" si="37"/>
        <v>0.177136573224595</v>
      </c>
      <c r="H94" s="623">
        <f t="shared" si="37"/>
        <v>0.177136573224595</v>
      </c>
      <c r="I94" s="623">
        <f t="shared" si="37"/>
        <v>0.177136573224595</v>
      </c>
      <c r="J94" s="623">
        <f t="shared" si="37"/>
        <v>0.177136573224595</v>
      </c>
      <c r="K94" s="619"/>
      <c r="L94" s="619"/>
      <c r="M94" s="619"/>
      <c r="N94" s="619"/>
      <c r="O94" s="619"/>
      <c r="P94" s="619"/>
      <c r="Q94" s="624">
        <f>SUM(E94:P94)</f>
        <v>1.0628194393475701</v>
      </c>
    </row>
    <row r="95" spans="2:17">
      <c r="D95" s="625"/>
      <c r="E95" s="623"/>
      <c r="F95" s="619"/>
      <c r="G95" s="619"/>
      <c r="H95" s="619"/>
      <c r="I95" s="619"/>
      <c r="J95" s="619"/>
      <c r="K95" s="619"/>
      <c r="L95" s="619"/>
      <c r="M95" s="619"/>
      <c r="N95" s="619"/>
      <c r="O95" s="619"/>
      <c r="P95" s="619"/>
      <c r="Q95" s="620"/>
    </row>
    <row r="96" spans="2:17">
      <c r="B96" s="603" t="s">
        <v>222</v>
      </c>
      <c r="D96" s="625"/>
      <c r="E96" s="623"/>
      <c r="F96" s="619"/>
      <c r="G96" s="619"/>
      <c r="H96" s="619"/>
      <c r="I96" s="619"/>
      <c r="J96" s="619"/>
      <c r="K96" s="619"/>
      <c r="L96" s="619"/>
      <c r="M96" s="619"/>
      <c r="N96" s="619"/>
      <c r="O96" s="619"/>
      <c r="P96" s="619"/>
      <c r="Q96" s="626" t="s">
        <v>211</v>
      </c>
    </row>
    <row r="97" spans="2:17">
      <c r="B97" s="603" t="s">
        <v>223</v>
      </c>
      <c r="E97" s="623"/>
      <c r="F97" s="619"/>
      <c r="G97" s="619"/>
      <c r="H97" s="619"/>
      <c r="I97" s="619"/>
      <c r="J97" s="618"/>
      <c r="K97" s="618">
        <f>$D$30</f>
        <v>2.6725383073709996</v>
      </c>
      <c r="L97" s="618">
        <f t="shared" ref="L97:Q97" si="38">$D$30</f>
        <v>2.6725383073709996</v>
      </c>
      <c r="M97" s="618">
        <f t="shared" si="38"/>
        <v>2.6725383073709996</v>
      </c>
      <c r="N97" s="618">
        <f t="shared" si="38"/>
        <v>2.6725383073709996</v>
      </c>
      <c r="O97" s="618">
        <f t="shared" si="38"/>
        <v>2.6725383073709996</v>
      </c>
      <c r="P97" s="618">
        <f t="shared" si="38"/>
        <v>2.6725383073709996</v>
      </c>
      <c r="Q97" s="618">
        <f t="shared" si="38"/>
        <v>2.6725383073709996</v>
      </c>
    </row>
    <row r="98" spans="2:17">
      <c r="B98" s="599" t="s">
        <v>221</v>
      </c>
      <c r="E98" s="627"/>
      <c r="F98" s="622"/>
      <c r="G98" s="622"/>
      <c r="H98" s="622"/>
      <c r="I98" s="622"/>
      <c r="J98" s="621"/>
      <c r="K98" s="621">
        <f t="shared" ref="K98:P98" si="39">$D$32</f>
        <v>9.1357416666666677E-2</v>
      </c>
      <c r="L98" s="621">
        <f t="shared" si="39"/>
        <v>9.1357416666666677E-2</v>
      </c>
      <c r="M98" s="621">
        <f t="shared" si="39"/>
        <v>9.1357416666666677E-2</v>
      </c>
      <c r="N98" s="621">
        <f t="shared" si="39"/>
        <v>9.1357416666666677E-2</v>
      </c>
      <c r="O98" s="621">
        <f t="shared" si="39"/>
        <v>9.1357416666666677E-2</v>
      </c>
      <c r="P98" s="621">
        <f t="shared" si="39"/>
        <v>9.1357416666666677E-2</v>
      </c>
      <c r="Q98" s="620">
        <f>SUM(J98:P98)</f>
        <v>0.54814450000000003</v>
      </c>
    </row>
    <row r="99" spans="2:17">
      <c r="B99" s="599" t="s">
        <v>5</v>
      </c>
      <c r="E99" s="623"/>
      <c r="F99" s="619"/>
      <c r="G99" s="619"/>
      <c r="H99" s="619"/>
      <c r="I99" s="619"/>
      <c r="J99" s="619"/>
      <c r="K99" s="619">
        <f t="shared" ref="K99:P99" si="40">K97*K98</f>
        <v>0.2441561957041205</v>
      </c>
      <c r="L99" s="619">
        <f t="shared" si="40"/>
        <v>0.2441561957041205</v>
      </c>
      <c r="M99" s="619">
        <f t="shared" si="40"/>
        <v>0.2441561957041205</v>
      </c>
      <c r="N99" s="619">
        <f t="shared" si="40"/>
        <v>0.2441561957041205</v>
      </c>
      <c r="O99" s="619">
        <f t="shared" si="40"/>
        <v>0.2441561957041205</v>
      </c>
      <c r="P99" s="619">
        <f t="shared" si="40"/>
        <v>0.2441561957041205</v>
      </c>
      <c r="Q99" s="624">
        <f>SUM(J99:P99)</f>
        <v>1.464937174224723</v>
      </c>
    </row>
    <row r="100" spans="2:17">
      <c r="E100" s="623"/>
      <c r="F100" s="619"/>
      <c r="G100" s="619"/>
      <c r="H100" s="619"/>
      <c r="I100" s="619"/>
      <c r="J100" s="623"/>
      <c r="K100" s="619"/>
      <c r="L100" s="619"/>
      <c r="M100" s="619"/>
      <c r="N100" s="619"/>
      <c r="O100" s="619"/>
      <c r="P100" s="619"/>
      <c r="Q100" s="620"/>
    </row>
    <row r="101" spans="2:17">
      <c r="E101" s="619"/>
      <c r="F101" s="619"/>
      <c r="G101" s="619"/>
      <c r="H101" s="619"/>
      <c r="I101" s="619"/>
      <c r="J101" s="619"/>
      <c r="K101" s="619"/>
      <c r="L101" s="619"/>
      <c r="M101" s="619"/>
      <c r="N101" s="619"/>
      <c r="O101" s="619"/>
      <c r="P101" s="619"/>
      <c r="Q101" s="620"/>
    </row>
    <row r="102" spans="2:17">
      <c r="B102" s="628" t="s">
        <v>212</v>
      </c>
      <c r="C102" s="605"/>
      <c r="E102" s="629">
        <f>E94+E99</f>
        <v>0.177136573224595</v>
      </c>
      <c r="F102" s="629">
        <f t="shared" ref="F102:Q102" si="41">F94+F99</f>
        <v>0.177136573224595</v>
      </c>
      <c r="G102" s="629">
        <f t="shared" si="41"/>
        <v>0.177136573224595</v>
      </c>
      <c r="H102" s="629">
        <f t="shared" si="41"/>
        <v>0.177136573224595</v>
      </c>
      <c r="I102" s="629">
        <f t="shared" si="41"/>
        <v>0.177136573224595</v>
      </c>
      <c r="J102" s="629">
        <f t="shared" si="41"/>
        <v>0.177136573224595</v>
      </c>
      <c r="K102" s="629">
        <f t="shared" si="41"/>
        <v>0.2441561957041205</v>
      </c>
      <c r="L102" s="629">
        <f t="shared" si="41"/>
        <v>0.2441561957041205</v>
      </c>
      <c r="M102" s="629">
        <f t="shared" si="41"/>
        <v>0.2441561957041205</v>
      </c>
      <c r="N102" s="629">
        <f t="shared" si="41"/>
        <v>0.2441561957041205</v>
      </c>
      <c r="O102" s="629">
        <f t="shared" si="41"/>
        <v>0.2441561957041205</v>
      </c>
      <c r="P102" s="629">
        <f t="shared" si="41"/>
        <v>0.2441561957041205</v>
      </c>
      <c r="Q102" s="629">
        <f t="shared" si="41"/>
        <v>2.5277566135722931</v>
      </c>
    </row>
    <row r="103" spans="2:17">
      <c r="J103" s="619"/>
    </row>
    <row r="104" spans="2:17">
      <c r="B104" s="630" t="s">
        <v>213</v>
      </c>
      <c r="E104" s="631">
        <f>SUM(E102:P102)</f>
        <v>2.5277566135722935</v>
      </c>
      <c r="J104" s="619"/>
    </row>
    <row r="105" spans="2:17">
      <c r="B105" s="604" t="s">
        <v>214</v>
      </c>
      <c r="C105" s="604"/>
      <c r="D105" s="632"/>
      <c r="E105" s="645">
        <f>D31</f>
        <v>1.0962890000000001</v>
      </c>
      <c r="F105" s="633"/>
      <c r="G105" s="604"/>
      <c r="H105" s="604"/>
      <c r="I105" s="633"/>
      <c r="J105" s="635"/>
      <c r="K105" s="636"/>
      <c r="L105" s="636"/>
      <c r="M105" s="636"/>
      <c r="N105" s="636"/>
      <c r="O105" s="636"/>
      <c r="P105" s="636"/>
      <c r="Q105" s="604"/>
    </row>
    <row r="106" spans="2:17">
      <c r="B106" s="637" t="s">
        <v>215</v>
      </c>
      <c r="C106" s="604"/>
      <c r="D106" s="632"/>
      <c r="E106" s="638">
        <f>E104/E105</f>
        <v>2.3057392836855004</v>
      </c>
      <c r="F106" s="604"/>
      <c r="G106" s="604"/>
      <c r="H106" s="604"/>
      <c r="I106" s="633"/>
      <c r="J106" s="635"/>
      <c r="K106" s="636"/>
      <c r="L106" s="636"/>
      <c r="M106" s="636"/>
      <c r="N106" s="636"/>
      <c r="O106" s="636"/>
      <c r="P106" s="636"/>
      <c r="Q106" s="604"/>
    </row>
  </sheetData>
  <printOptions horizontalCentered="1"/>
  <pageMargins left="0.31496062992125984" right="0.31496062992125984" top="0.74803149606299213" bottom="0.35433070866141736" header="0.11811023622047245" footer="0.11811023622047245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70C0"/>
  </sheetPr>
  <dimension ref="A1:BA64"/>
  <sheetViews>
    <sheetView showGridLines="0" zoomScale="90" zoomScaleNormal="90" zoomScaleSheetLayoutView="40" workbookViewId="0">
      <pane xSplit="8" ySplit="11" topLeftCell="I40" activePane="bottomRight" state="frozen"/>
      <selection activeCell="E242" sqref="E242"/>
      <selection pane="topRight" activeCell="E242" sqref="E242"/>
      <selection pane="bottomLeft" activeCell="E242" sqref="E242"/>
      <selection pane="bottomRight" activeCell="T43" sqref="T43"/>
    </sheetView>
  </sheetViews>
  <sheetFormatPr defaultColWidth="0" defaultRowHeight="12.75" outlineLevelCol="1"/>
  <cols>
    <col min="1" max="5" width="1.7109375" style="100" bestFit="1" customWidth="1" outlineLevel="1"/>
    <col min="6" max="6" width="1.7109375" style="100" bestFit="1" customWidth="1"/>
    <col min="7" max="7" width="44" style="100" customWidth="1"/>
    <col min="8" max="8" width="1.7109375" style="100" bestFit="1" customWidth="1"/>
    <col min="9" max="9" width="5.28515625" style="100" bestFit="1" customWidth="1"/>
    <col min="10" max="10" width="2.5703125" style="100" bestFit="1" customWidth="1"/>
    <col min="11" max="13" width="7.85546875" style="100" bestFit="1" customWidth="1"/>
    <col min="14" max="19" width="8.7109375" style="100" bestFit="1" customWidth="1"/>
    <col min="20" max="24" width="8.7109375" bestFit="1" customWidth="1"/>
    <col min="25" max="25" width="9.7109375" customWidth="1"/>
    <col min="26" max="34" width="9.7109375" customWidth="1" outlineLevel="1"/>
    <col min="35" max="35" width="9.7109375" customWidth="1"/>
    <col min="36" max="53" width="9.7109375" hidden="1" customWidth="1"/>
    <col min="54" max="16384" width="9.140625" hidden="1"/>
  </cols>
  <sheetData>
    <row r="1" spans="1:36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36" ht="21">
      <c r="A2" s="129"/>
      <c r="B2" s="129"/>
      <c r="C2" s="129"/>
      <c r="D2" s="129"/>
      <c r="E2" s="129"/>
      <c r="F2" s="129"/>
      <c r="G2" s="132" t="s">
        <v>133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36">
      <c r="A3" s="129"/>
      <c r="B3" s="129"/>
      <c r="C3" s="129"/>
      <c r="D3" s="129"/>
      <c r="E3" s="129"/>
      <c r="F3" s="129"/>
      <c r="G3" s="131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36">
      <c r="A4" s="129"/>
      <c r="B4" s="129"/>
      <c r="C4" s="129"/>
      <c r="D4" s="129"/>
      <c r="E4" s="129"/>
      <c r="F4" s="129"/>
      <c r="G4" s="130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1:36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36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36">
      <c r="A7" s="127">
        <v>1</v>
      </c>
      <c r="B7" s="127">
        <f t="shared" ref="B7:S7" si="0">A7+1</f>
        <v>2</v>
      </c>
      <c r="C7" s="127">
        <f t="shared" si="0"/>
        <v>3</v>
      </c>
      <c r="D7" s="127">
        <f t="shared" si="0"/>
        <v>4</v>
      </c>
      <c r="E7" s="127">
        <f t="shared" si="0"/>
        <v>5</v>
      </c>
      <c r="F7" s="127">
        <f t="shared" si="0"/>
        <v>6</v>
      </c>
      <c r="G7" s="127">
        <f t="shared" si="0"/>
        <v>7</v>
      </c>
      <c r="H7" s="127">
        <f t="shared" si="0"/>
        <v>8</v>
      </c>
      <c r="I7" s="127">
        <f t="shared" si="0"/>
        <v>9</v>
      </c>
      <c r="J7" s="127">
        <f t="shared" si="0"/>
        <v>10</v>
      </c>
      <c r="K7" s="127">
        <f t="shared" si="0"/>
        <v>11</v>
      </c>
      <c r="L7" s="127">
        <f t="shared" si="0"/>
        <v>12</v>
      </c>
      <c r="M7" s="127">
        <f t="shared" si="0"/>
        <v>13</v>
      </c>
      <c r="N7" s="127">
        <f t="shared" si="0"/>
        <v>14</v>
      </c>
      <c r="O7" s="127">
        <f t="shared" si="0"/>
        <v>15</v>
      </c>
      <c r="P7" s="127">
        <f t="shared" si="0"/>
        <v>16</v>
      </c>
      <c r="Q7" s="127">
        <f t="shared" si="0"/>
        <v>17</v>
      </c>
      <c r="R7" s="127">
        <f t="shared" si="0"/>
        <v>18</v>
      </c>
      <c r="S7" s="127">
        <f t="shared" si="0"/>
        <v>19</v>
      </c>
    </row>
    <row r="8" spans="1:36">
      <c r="G8" s="126"/>
      <c r="H8" s="125"/>
    </row>
    <row r="9" spans="1:36">
      <c r="G9" s="126"/>
      <c r="H9" s="125"/>
    </row>
    <row r="10" spans="1:36">
      <c r="I10" s="124"/>
      <c r="K10" s="123">
        <v>39994</v>
      </c>
      <c r="L10" s="123">
        <f t="shared" ref="L10:Z10" si="1">EOMONTH(K10,12)</f>
        <v>40359</v>
      </c>
      <c r="M10" s="123">
        <f t="shared" si="1"/>
        <v>40724</v>
      </c>
      <c r="N10" s="123">
        <f t="shared" si="1"/>
        <v>41090</v>
      </c>
      <c r="O10" s="123">
        <f t="shared" si="1"/>
        <v>41455</v>
      </c>
      <c r="P10" s="123">
        <f t="shared" si="1"/>
        <v>41820</v>
      </c>
      <c r="Q10" s="123">
        <f t="shared" si="1"/>
        <v>42185</v>
      </c>
      <c r="R10" s="123">
        <f t="shared" si="1"/>
        <v>42551</v>
      </c>
      <c r="S10" s="123">
        <f t="shared" si="1"/>
        <v>42916</v>
      </c>
      <c r="T10" s="123">
        <f t="shared" si="1"/>
        <v>43281</v>
      </c>
      <c r="U10" s="123">
        <f t="shared" si="1"/>
        <v>43646</v>
      </c>
      <c r="V10" s="123">
        <f t="shared" si="1"/>
        <v>44012</v>
      </c>
      <c r="W10" s="123">
        <f t="shared" si="1"/>
        <v>44377</v>
      </c>
      <c r="X10" s="123">
        <f t="shared" si="1"/>
        <v>44742</v>
      </c>
      <c r="Y10" s="123">
        <f t="shared" si="1"/>
        <v>45107</v>
      </c>
      <c r="Z10" s="123">
        <f t="shared" si="1"/>
        <v>45473</v>
      </c>
      <c r="AA10" s="123">
        <f t="shared" ref="AA10:AH10" si="2">EOMONTH(Z10,12)</f>
        <v>45838</v>
      </c>
      <c r="AB10" s="123">
        <f t="shared" si="2"/>
        <v>46203</v>
      </c>
      <c r="AC10" s="123">
        <f t="shared" si="2"/>
        <v>46568</v>
      </c>
      <c r="AD10" s="123">
        <f t="shared" si="2"/>
        <v>46934</v>
      </c>
      <c r="AE10" s="123">
        <f t="shared" si="2"/>
        <v>47299</v>
      </c>
      <c r="AF10" s="123">
        <f t="shared" si="2"/>
        <v>47664</v>
      </c>
      <c r="AG10" s="123">
        <f t="shared" si="2"/>
        <v>48029</v>
      </c>
      <c r="AH10" s="123">
        <f t="shared" si="2"/>
        <v>48395</v>
      </c>
    </row>
    <row r="11" spans="1:36">
      <c r="F11" s="122" t="str">
        <f>IF(ABS(SUM(F12:F371))&lt;&gt;0,1," ")</f>
        <v xml:space="preserve"> </v>
      </c>
      <c r="G11" s="44"/>
      <c r="H11" s="44"/>
      <c r="K11" s="94" t="s">
        <v>127</v>
      </c>
      <c r="L11" s="94" t="s">
        <v>127</v>
      </c>
      <c r="M11" s="94" t="s">
        <v>127</v>
      </c>
      <c r="N11" s="94" t="s">
        <v>126</v>
      </c>
      <c r="O11" s="94" t="s">
        <v>126</v>
      </c>
      <c r="P11" s="94" t="s">
        <v>126</v>
      </c>
      <c r="Q11" s="94" t="s">
        <v>125</v>
      </c>
      <c r="R11" s="94" t="s">
        <v>125</v>
      </c>
      <c r="S11" s="94" t="s">
        <v>125</v>
      </c>
      <c r="T11" s="94" t="s">
        <v>125</v>
      </c>
      <c r="U11" s="94" t="s">
        <v>125</v>
      </c>
      <c r="V11" s="94" t="s">
        <v>125</v>
      </c>
      <c r="W11" s="94" t="s">
        <v>125</v>
      </c>
      <c r="X11" s="94" t="s">
        <v>125</v>
      </c>
      <c r="Y11" s="343" t="s">
        <v>176</v>
      </c>
      <c r="Z11" s="94"/>
    </row>
    <row r="12" spans="1:36" ht="15.75">
      <c r="G12" s="89" t="s">
        <v>139</v>
      </c>
      <c r="H12" s="121"/>
      <c r="I12" s="106" t="s">
        <v>59</v>
      </c>
      <c r="L12" s="120">
        <v>0</v>
      </c>
      <c r="M12" s="120">
        <f t="shared" ref="M12:X12" si="3">L12+1</f>
        <v>1</v>
      </c>
      <c r="N12" s="120">
        <f t="shared" si="3"/>
        <v>2</v>
      </c>
      <c r="O12" s="120">
        <f t="shared" si="3"/>
        <v>3</v>
      </c>
      <c r="P12" s="120">
        <f t="shared" si="3"/>
        <v>4</v>
      </c>
      <c r="Q12" s="120">
        <f t="shared" si="3"/>
        <v>5</v>
      </c>
      <c r="R12" s="120">
        <f t="shared" si="3"/>
        <v>6</v>
      </c>
      <c r="S12" s="120">
        <f t="shared" si="3"/>
        <v>7</v>
      </c>
      <c r="T12" s="120">
        <f t="shared" si="3"/>
        <v>8</v>
      </c>
      <c r="U12" s="120">
        <f t="shared" si="3"/>
        <v>9</v>
      </c>
      <c r="V12" s="120">
        <f t="shared" si="3"/>
        <v>10</v>
      </c>
      <c r="W12" s="120">
        <f t="shared" si="3"/>
        <v>11</v>
      </c>
      <c r="X12" s="120">
        <f t="shared" si="3"/>
        <v>12</v>
      </c>
      <c r="Y12" s="344"/>
    </row>
    <row r="13" spans="1:36">
      <c r="G13" s="428" t="s">
        <v>58</v>
      </c>
      <c r="I13" s="106" t="s">
        <v>50</v>
      </c>
      <c r="K13" s="119"/>
      <c r="L13" s="119"/>
      <c r="M13" s="119"/>
      <c r="N13" s="119">
        <v>0</v>
      </c>
      <c r="O13" s="119">
        <v>2.1000000000000001E-2</v>
      </c>
      <c r="P13" s="119">
        <v>2.1000000000000001E-2</v>
      </c>
      <c r="Q13" s="119">
        <v>2.1000000000000001E-2</v>
      </c>
      <c r="R13" s="119">
        <v>2.1000000000000001E-2</v>
      </c>
      <c r="S13" s="119">
        <v>2.1000000000000001E-2</v>
      </c>
      <c r="T13" s="119">
        <v>2.5000000000000001E-2</v>
      </c>
      <c r="U13" s="119">
        <v>2.5000000000000001E-2</v>
      </c>
      <c r="V13" s="119">
        <v>2.5000000000000001E-2</v>
      </c>
      <c r="W13" s="119">
        <v>2.5000000000000001E-2</v>
      </c>
      <c r="X13" s="119">
        <v>2.5000000000000001E-2</v>
      </c>
      <c r="Y13" s="119">
        <v>2.5000000000000001E-2</v>
      </c>
      <c r="Z13" s="119">
        <v>2.5000000000000001E-2</v>
      </c>
      <c r="AA13" s="119">
        <v>2.5000000000000001E-2</v>
      </c>
      <c r="AB13" s="119">
        <v>2.5000000000000001E-2</v>
      </c>
      <c r="AC13" s="119">
        <v>2.5000000000000001E-2</v>
      </c>
      <c r="AD13" s="119">
        <v>2.5000000000000001E-2</v>
      </c>
      <c r="AE13" s="119">
        <v>2.5000000000000001E-2</v>
      </c>
      <c r="AF13" s="119">
        <v>2.5000000000000001E-2</v>
      </c>
      <c r="AG13" s="119">
        <v>2.5000000000000001E-2</v>
      </c>
      <c r="AH13" s="119">
        <v>2.5000000000000001E-2</v>
      </c>
      <c r="AI13" s="554">
        <f>AH13</f>
        <v>2.5000000000000001E-2</v>
      </c>
      <c r="AJ13" s="554">
        <f>AI13</f>
        <v>2.5000000000000001E-2</v>
      </c>
    </row>
    <row r="14" spans="1:36">
      <c r="G14" s="428" t="s">
        <v>57</v>
      </c>
      <c r="I14" s="106"/>
      <c r="K14" s="426">
        <v>1</v>
      </c>
      <c r="L14" s="426">
        <v>1</v>
      </c>
      <c r="M14" s="426">
        <f t="shared" ref="M14:X14" si="4">L14*(1+M13)</f>
        <v>1</v>
      </c>
      <c r="N14" s="426">
        <f t="shared" si="4"/>
        <v>1</v>
      </c>
      <c r="O14" s="426">
        <f t="shared" si="4"/>
        <v>1.0209999999999999</v>
      </c>
      <c r="P14" s="426">
        <f t="shared" si="4"/>
        <v>1.0424409999999997</v>
      </c>
      <c r="Q14" s="426">
        <f t="shared" si="4"/>
        <v>1.0643322609999997</v>
      </c>
      <c r="R14" s="426">
        <f t="shared" si="4"/>
        <v>1.0866832384809995</v>
      </c>
      <c r="S14" s="426">
        <f t="shared" si="4"/>
        <v>1.1095035864891003</v>
      </c>
      <c r="T14" s="426">
        <f t="shared" si="4"/>
        <v>1.1372411761513277</v>
      </c>
      <c r="U14" s="426">
        <f t="shared" si="4"/>
        <v>1.1656722055551108</v>
      </c>
      <c r="V14" s="426">
        <f t="shared" si="4"/>
        <v>1.1948140106939884</v>
      </c>
      <c r="W14" s="426">
        <f t="shared" si="4"/>
        <v>1.224684360961338</v>
      </c>
      <c r="X14" s="427">
        <f t="shared" si="4"/>
        <v>1.2553014699853713</v>
      </c>
      <c r="Y14" s="345"/>
    </row>
    <row r="15" spans="1:36">
      <c r="G15" s="103"/>
      <c r="I15" s="106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45"/>
    </row>
    <row r="16" spans="1:36" ht="15.75">
      <c r="G16" s="89" t="s">
        <v>55</v>
      </c>
      <c r="H16" s="102"/>
      <c r="Y16" s="345"/>
    </row>
    <row r="17" spans="7:25" ht="15.75">
      <c r="G17" s="429" t="s">
        <v>54</v>
      </c>
      <c r="I17" s="106"/>
      <c r="K17" s="115"/>
      <c r="L17" s="115"/>
      <c r="M17" s="115"/>
      <c r="N17" s="115"/>
      <c r="O17" s="115"/>
      <c r="P17" s="115"/>
      <c r="Q17" s="115"/>
      <c r="R17" s="115"/>
      <c r="S17" s="115"/>
      <c r="Y17" s="345"/>
    </row>
    <row r="18" spans="7:25" ht="12" customHeight="1">
      <c r="G18" s="429"/>
      <c r="I18" s="106"/>
      <c r="Y18" s="345"/>
    </row>
    <row r="19" spans="7:25">
      <c r="G19" s="320" t="s">
        <v>47</v>
      </c>
      <c r="I19" s="106" t="s">
        <v>50</v>
      </c>
      <c r="K19" s="114"/>
      <c r="L19" s="114"/>
      <c r="M19" s="114"/>
      <c r="N19" s="114"/>
      <c r="O19" s="114">
        <f t="shared" ref="O19:X19" si="5">(O20-N20)/N20</f>
        <v>-2.2539288668320927E-2</v>
      </c>
      <c r="P19" s="114">
        <f t="shared" si="5"/>
        <v>0</v>
      </c>
      <c r="Q19" s="114">
        <f t="shared" si="5"/>
        <v>5.500317325999577E-2</v>
      </c>
      <c r="R19" s="114">
        <f t="shared" si="5"/>
        <v>3.7096450772007218E-2</v>
      </c>
      <c r="S19" s="114">
        <f t="shared" si="5"/>
        <v>3.7122969837587005E-2</v>
      </c>
      <c r="T19" s="114">
        <f t="shared" si="5"/>
        <v>1.9388516032811335E-2</v>
      </c>
      <c r="U19" s="114">
        <f t="shared" si="5"/>
        <v>2.121433796634967E-2</v>
      </c>
      <c r="V19" s="114">
        <f t="shared" si="5"/>
        <v>3.7965616045845273E-2</v>
      </c>
      <c r="W19" s="114">
        <f t="shared" si="5"/>
        <v>3.3126293995859216E-2</v>
      </c>
      <c r="X19" s="341">
        <f t="shared" si="5"/>
        <v>3.9374582498330084E-2</v>
      </c>
      <c r="Y19" s="345"/>
    </row>
    <row r="20" spans="7:25">
      <c r="G20" s="320"/>
      <c r="I20" s="106" t="s">
        <v>48</v>
      </c>
      <c r="K20" s="110"/>
      <c r="L20" s="110"/>
      <c r="M20" s="110"/>
      <c r="N20" s="110">
        <f>'[2]Macro Input'!N44</f>
        <v>4836</v>
      </c>
      <c r="O20" s="110">
        <f>'[2]Macro Input'!O44</f>
        <v>4727</v>
      </c>
      <c r="P20" s="110">
        <f>'[2]Macro Input'!P44</f>
        <v>4727</v>
      </c>
      <c r="Q20" s="110">
        <f>'[2]Macro Input'!Q44</f>
        <v>4987</v>
      </c>
      <c r="R20" s="110">
        <f>'[2]Macro Input'!R44</f>
        <v>5172</v>
      </c>
      <c r="S20" s="110">
        <f>'[2]Macro Input'!S44</f>
        <v>5364</v>
      </c>
      <c r="T20" s="110">
        <f>'[2]Macro Input'!T44</f>
        <v>5468</v>
      </c>
      <c r="U20" s="110">
        <f>'[2]Macro Input'!U44</f>
        <v>5584</v>
      </c>
      <c r="V20" s="110">
        <f>'[2]Macro Input'!V44</f>
        <v>5796</v>
      </c>
      <c r="W20" s="110">
        <f>'[2]Macro Input'!W44</f>
        <v>5988</v>
      </c>
      <c r="X20" s="110">
        <f>'[2]Macro Input'!X44</f>
        <v>6223.7750000000005</v>
      </c>
      <c r="Y20" s="345">
        <f>NPV(Term_WACC, '[2]Macro Input'!Y44:AH44)</f>
        <v>37840.190550027233</v>
      </c>
    </row>
    <row r="21" spans="7:25">
      <c r="G21" s="320"/>
      <c r="I21" s="106"/>
      <c r="K21" s="108"/>
      <c r="L21" s="108"/>
      <c r="M21" s="108"/>
      <c r="N21" s="108"/>
      <c r="O21" s="108"/>
      <c r="P21" s="108"/>
      <c r="Q21" s="112"/>
      <c r="R21" s="111"/>
      <c r="S21" s="111"/>
      <c r="T21" s="111"/>
      <c r="U21" s="111"/>
      <c r="V21" s="111"/>
      <c r="W21" s="111"/>
      <c r="X21" s="111"/>
      <c r="Y21" s="345"/>
    </row>
    <row r="22" spans="7:25">
      <c r="G22" s="320" t="s">
        <v>8</v>
      </c>
      <c r="I22" s="106" t="s">
        <v>50</v>
      </c>
      <c r="K22" s="114"/>
      <c r="L22" s="114"/>
      <c r="M22" s="114"/>
      <c r="N22" s="114"/>
      <c r="O22" s="114">
        <f t="shared" ref="O22:X22" si="6">(O23-N23)/N23</f>
        <v>-1.6818028927009755E-3</v>
      </c>
      <c r="P22" s="114">
        <f t="shared" si="6"/>
        <v>-2.4764150943396228E-2</v>
      </c>
      <c r="Q22" s="114">
        <f t="shared" si="6"/>
        <v>3.3684574192433927E-3</v>
      </c>
      <c r="R22" s="114">
        <f t="shared" si="6"/>
        <v>5.2509253679951795E-3</v>
      </c>
      <c r="S22" s="114">
        <f t="shared" si="6"/>
        <v>-1.883884226751156E-3</v>
      </c>
      <c r="T22" s="114">
        <f t="shared" si="6"/>
        <v>3.3459162663006178E-3</v>
      </c>
      <c r="U22" s="114">
        <f t="shared" si="6"/>
        <v>-3.4202650705429669E-3</v>
      </c>
      <c r="V22" s="114">
        <f t="shared" si="6"/>
        <v>5.4912054912054911E-3</v>
      </c>
      <c r="W22" s="114">
        <f t="shared" si="6"/>
        <v>1.7066302585544841E-4</v>
      </c>
      <c r="X22" s="341">
        <f t="shared" si="6"/>
        <v>1.9637161785569242E-2</v>
      </c>
      <c r="Y22" s="345"/>
    </row>
    <row r="23" spans="7:25">
      <c r="G23" s="320"/>
      <c r="I23" s="106" t="s">
        <v>48</v>
      </c>
      <c r="K23" s="110"/>
      <c r="L23" s="110"/>
      <c r="M23" s="110"/>
      <c r="N23" s="110">
        <f>'[2]Macro Input'!N47</f>
        <v>11892</v>
      </c>
      <c r="O23" s="110">
        <f>'[2]Macro Input'!O47</f>
        <v>11872</v>
      </c>
      <c r="P23" s="110">
        <f>'[2]Macro Input'!P47</f>
        <v>11578</v>
      </c>
      <c r="Q23" s="110">
        <f>'[2]Macro Input'!Q47</f>
        <v>11617</v>
      </c>
      <c r="R23" s="110">
        <f>'[2]Macro Input'!R47</f>
        <v>11678</v>
      </c>
      <c r="S23" s="110">
        <f>'[2]Macro Input'!S47</f>
        <v>11656</v>
      </c>
      <c r="T23" s="110">
        <f>'[2]Macro Input'!T47</f>
        <v>11695</v>
      </c>
      <c r="U23" s="110">
        <f>'[2]Macro Input'!U47</f>
        <v>11655</v>
      </c>
      <c r="V23" s="110">
        <f>'[2]Macro Input'!V47</f>
        <v>11719</v>
      </c>
      <c r="W23" s="110">
        <f>'[2]Macro Input'!W47</f>
        <v>11721</v>
      </c>
      <c r="X23" s="110">
        <f>'[2]Macro Input'!X47</f>
        <v>11951.167173288657</v>
      </c>
      <c r="Y23" s="345">
        <f>NPV(Term_WACC, '[2]Macro Input'!Y47:AH47)</f>
        <v>71082.145829567729</v>
      </c>
    </row>
    <row r="24" spans="7:25">
      <c r="G24" s="320"/>
      <c r="I24" s="106"/>
      <c r="K24" s="108"/>
      <c r="L24" s="108"/>
      <c r="M24" s="108"/>
      <c r="N24" s="108"/>
      <c r="O24" s="108"/>
      <c r="P24" s="108"/>
      <c r="Q24" s="112"/>
      <c r="R24" s="111"/>
      <c r="S24" s="111"/>
      <c r="T24" s="111"/>
      <c r="U24" s="111"/>
      <c r="V24" s="111"/>
      <c r="W24" s="111"/>
      <c r="X24" s="111"/>
      <c r="Y24" s="345"/>
    </row>
    <row r="25" spans="7:25">
      <c r="G25" s="320" t="s">
        <v>53</v>
      </c>
      <c r="I25" s="106" t="s">
        <v>50</v>
      </c>
      <c r="K25" s="114"/>
      <c r="L25" s="114"/>
      <c r="M25" s="114"/>
      <c r="N25" s="114"/>
      <c r="O25" s="114">
        <f t="shared" ref="O25:X25" si="7">(O26-N26)/N26</f>
        <v>5.3257042253521125E-2</v>
      </c>
      <c r="P25" s="114">
        <f t="shared" si="7"/>
        <v>5.9130798161303802E-2</v>
      </c>
      <c r="Q25" s="114">
        <f t="shared" si="7"/>
        <v>1.2329848096271454E-3</v>
      </c>
      <c r="R25" s="114">
        <f t="shared" si="7"/>
        <v>6.7484360376336141E-3</v>
      </c>
      <c r="S25" s="114">
        <f t="shared" si="7"/>
        <v>8.5624816518250317E-3</v>
      </c>
      <c r="T25" s="114">
        <f t="shared" si="7"/>
        <v>6.9373696211128899E-3</v>
      </c>
      <c r="U25" s="114">
        <f t="shared" si="7"/>
        <v>9.3948737714395839E-3</v>
      </c>
      <c r="V25" s="114">
        <f t="shared" si="7"/>
        <v>1.0930265858431579E-2</v>
      </c>
      <c r="W25" s="114">
        <f t="shared" si="7"/>
        <v>5.1463644948064212E-3</v>
      </c>
      <c r="X25" s="341">
        <f t="shared" si="7"/>
        <v>2.3457988386531455E-2</v>
      </c>
      <c r="Y25" s="345"/>
    </row>
    <row r="26" spans="7:25">
      <c r="G26" s="320"/>
      <c r="I26" s="106" t="s">
        <v>48</v>
      </c>
      <c r="K26" s="316"/>
      <c r="L26" s="316"/>
      <c r="M26" s="316"/>
      <c r="N26" s="316">
        <f>'[2]Macro Input'!N50</f>
        <v>18176</v>
      </c>
      <c r="O26" s="316">
        <f>'[2]Macro Input'!O50</f>
        <v>19144</v>
      </c>
      <c r="P26" s="316">
        <f>'[2]Macro Input'!P50</f>
        <v>20276</v>
      </c>
      <c r="Q26" s="316">
        <f>'[2]Macro Input'!Q50</f>
        <v>20301</v>
      </c>
      <c r="R26" s="316">
        <f>'[2]Macro Input'!R50</f>
        <v>20438</v>
      </c>
      <c r="S26" s="316">
        <f>'[2]Macro Input'!S50</f>
        <v>20613</v>
      </c>
      <c r="T26" s="316">
        <f>'[2]Macro Input'!T50</f>
        <v>20756</v>
      </c>
      <c r="U26" s="316">
        <f>'[2]Macro Input'!U50</f>
        <v>20951</v>
      </c>
      <c r="V26" s="316">
        <f>'[2]Macro Input'!V50</f>
        <v>21180</v>
      </c>
      <c r="W26" s="316">
        <f>'[2]Macro Input'!W50</f>
        <v>21289</v>
      </c>
      <c r="X26" s="316">
        <f>'[2]Macro Input'!X50</f>
        <v>21788.397114760868</v>
      </c>
      <c r="Y26" s="345">
        <f>NPV(Term_WACC, '[2]Macro Input'!Y50:AH50)</f>
        <v>129591.19378444641</v>
      </c>
    </row>
    <row r="27" spans="7:25">
      <c r="G27" s="320" t="s">
        <v>228</v>
      </c>
      <c r="I27" s="106"/>
      <c r="K27" s="546"/>
      <c r="L27" s="546"/>
      <c r="M27" s="546"/>
      <c r="N27" s="546">
        <v>2543</v>
      </c>
      <c r="O27" s="546">
        <v>2543</v>
      </c>
      <c r="P27" s="546">
        <v>2543</v>
      </c>
      <c r="Q27" s="546">
        <v>2543</v>
      </c>
      <c r="R27" s="546">
        <v>2543</v>
      </c>
      <c r="S27" s="546">
        <v>2543</v>
      </c>
      <c r="T27" s="546">
        <v>2543</v>
      </c>
      <c r="U27" s="546">
        <v>2543</v>
      </c>
      <c r="V27" s="546">
        <v>2543</v>
      </c>
      <c r="W27" s="546">
        <v>2543</v>
      </c>
      <c r="X27" s="546">
        <v>2543</v>
      </c>
      <c r="Y27" s="345">
        <v>13483.129731797066</v>
      </c>
    </row>
    <row r="28" spans="7:25">
      <c r="G28" s="432"/>
      <c r="I28" s="106"/>
      <c r="K28" s="546"/>
      <c r="L28" s="546"/>
      <c r="M28" s="546"/>
      <c r="N28" s="546"/>
      <c r="O28" s="546"/>
      <c r="P28" s="546"/>
      <c r="Q28" s="546"/>
      <c r="R28" s="546"/>
      <c r="S28" s="546"/>
      <c r="T28" s="546"/>
      <c r="U28" s="546"/>
      <c r="V28" s="546"/>
      <c r="W28" s="546"/>
      <c r="X28" s="546"/>
      <c r="Y28" s="345"/>
    </row>
    <row r="29" spans="7:25">
      <c r="G29" s="432"/>
      <c r="I29" s="10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345"/>
    </row>
    <row r="30" spans="7:25">
      <c r="G30" s="320" t="s">
        <v>145</v>
      </c>
      <c r="I30" s="106"/>
      <c r="K30" s="113">
        <f>K20+K23+K26</f>
        <v>0</v>
      </c>
      <c r="L30" s="113">
        <f>L20+L23+L26</f>
        <v>0</v>
      </c>
      <c r="M30" s="113">
        <f>M20+M23+M26</f>
        <v>0</v>
      </c>
      <c r="N30" s="113">
        <f t="shared" ref="N30:Y30" si="8">N20+N23+N26+N27</f>
        <v>37447</v>
      </c>
      <c r="O30" s="113">
        <f t="shared" si="8"/>
        <v>38286</v>
      </c>
      <c r="P30" s="113">
        <f t="shared" si="8"/>
        <v>39124</v>
      </c>
      <c r="Q30" s="113">
        <f t="shared" si="8"/>
        <v>39448</v>
      </c>
      <c r="R30" s="113">
        <f t="shared" si="8"/>
        <v>39831</v>
      </c>
      <c r="S30" s="113">
        <f t="shared" si="8"/>
        <v>40176</v>
      </c>
      <c r="T30" s="113">
        <f t="shared" si="8"/>
        <v>40462</v>
      </c>
      <c r="U30" s="113">
        <f t="shared" si="8"/>
        <v>40733</v>
      </c>
      <c r="V30" s="113">
        <f t="shared" si="8"/>
        <v>41238</v>
      </c>
      <c r="W30" s="113">
        <f t="shared" si="8"/>
        <v>41541</v>
      </c>
      <c r="X30" s="113">
        <f t="shared" si="8"/>
        <v>42506.339288049523</v>
      </c>
      <c r="Y30" s="346">
        <f t="shared" si="8"/>
        <v>251996.65989583844</v>
      </c>
    </row>
    <row r="31" spans="7:25">
      <c r="G31" s="432" t="s">
        <v>251</v>
      </c>
      <c r="I31" s="106"/>
      <c r="K31" s="113"/>
      <c r="L31" s="113"/>
      <c r="M31" s="113"/>
      <c r="N31" s="110">
        <f>[4]Airfield!N58</f>
        <v>3033</v>
      </c>
      <c r="O31" s="110">
        <f>[4]Airfield!O58</f>
        <v>3103</v>
      </c>
      <c r="P31" s="110">
        <f>[4]Airfield!P58</f>
        <v>3103</v>
      </c>
      <c r="Q31" s="110">
        <f>[4]Airfield!Q58</f>
        <v>3103</v>
      </c>
      <c r="R31" s="110">
        <f>[4]Airfield!R58</f>
        <v>3111</v>
      </c>
      <c r="S31" s="110">
        <f>[4]Airfield!S58</f>
        <v>3103</v>
      </c>
      <c r="T31" s="110">
        <f>[4]Airfield!T58</f>
        <v>3103</v>
      </c>
      <c r="U31" s="110">
        <f>[4]Airfield!U58</f>
        <v>3103</v>
      </c>
      <c r="V31" s="110">
        <f>[4]Airfield!V58</f>
        <v>3111</v>
      </c>
      <c r="W31" s="110">
        <f>[4]Airfield!W58</f>
        <v>3103</v>
      </c>
      <c r="X31" s="110">
        <f>[4]Airfield!X58</f>
        <v>3163.5780042339829</v>
      </c>
      <c r="Y31" s="576">
        <f>NPV(Term_WACC, [4]Airfield!$Y$58:$AH$58)</f>
        <v>18507.785623822536</v>
      </c>
    </row>
    <row r="32" spans="7:25">
      <c r="G32" s="432" t="s">
        <v>252</v>
      </c>
      <c r="I32" s="106"/>
      <c r="N32" s="108">
        <f>N30-N31</f>
        <v>34414</v>
      </c>
      <c r="O32" s="108">
        <f t="shared" ref="O32:Y32" si="9">O30-O31</f>
        <v>35183</v>
      </c>
      <c r="P32" s="108">
        <f t="shared" si="9"/>
        <v>36021</v>
      </c>
      <c r="Q32" s="108">
        <f t="shared" si="9"/>
        <v>36345</v>
      </c>
      <c r="R32" s="108">
        <f t="shared" si="9"/>
        <v>36720</v>
      </c>
      <c r="S32" s="108">
        <f t="shared" si="9"/>
        <v>37073</v>
      </c>
      <c r="T32" s="108">
        <f t="shared" si="9"/>
        <v>37359</v>
      </c>
      <c r="U32" s="108">
        <f t="shared" si="9"/>
        <v>37630</v>
      </c>
      <c r="V32" s="108">
        <f t="shared" si="9"/>
        <v>38127</v>
      </c>
      <c r="W32" s="108">
        <f t="shared" si="9"/>
        <v>38438</v>
      </c>
      <c r="X32" s="108">
        <f t="shared" si="9"/>
        <v>39342.76128381554</v>
      </c>
      <c r="Y32" s="108">
        <f t="shared" si="9"/>
        <v>233488.87427201591</v>
      </c>
    </row>
    <row r="33" spans="1:25" ht="15.75">
      <c r="G33" s="429" t="s">
        <v>52</v>
      </c>
      <c r="I33" s="106"/>
      <c r="T33" s="100"/>
      <c r="U33" s="100"/>
      <c r="V33" s="100"/>
      <c r="W33" s="100"/>
      <c r="X33" s="100"/>
      <c r="Y33" s="344"/>
    </row>
    <row r="34" spans="1:25">
      <c r="G34" s="430"/>
      <c r="I34" s="106"/>
      <c r="T34" s="100"/>
      <c r="U34" s="100"/>
      <c r="V34" s="100"/>
      <c r="W34" s="100"/>
      <c r="X34" s="100"/>
      <c r="Y34" s="344"/>
    </row>
    <row r="35" spans="1:25" s="10" customFormat="1">
      <c r="A35" s="118"/>
      <c r="B35" s="118"/>
      <c r="C35" s="118"/>
      <c r="D35" s="118"/>
      <c r="E35" s="118"/>
      <c r="F35" s="118"/>
      <c r="G35" s="76" t="s">
        <v>51</v>
      </c>
      <c r="H35" s="118"/>
      <c r="I35" s="271" t="s">
        <v>50</v>
      </c>
      <c r="J35" s="118"/>
      <c r="K35" s="114"/>
      <c r="L35" s="114"/>
      <c r="M35" s="114"/>
      <c r="N35" s="114"/>
      <c r="O35" s="114">
        <f t="shared" ref="O35:X35" si="10">(O36-N36)/N36</f>
        <v>-3.7744531871862341E-3</v>
      </c>
      <c r="P35" s="114">
        <f t="shared" si="10"/>
        <v>2.8212633746921796E-2</v>
      </c>
      <c r="Q35" s="114">
        <f t="shared" si="10"/>
        <v>1.4125016708927043E-2</v>
      </c>
      <c r="R35" s="114">
        <f t="shared" si="10"/>
        <v>1.8006048549471132E-2</v>
      </c>
      <c r="S35" s="114">
        <f t="shared" si="10"/>
        <v>9.9780120083632472E-3</v>
      </c>
      <c r="T35" s="114">
        <f t="shared" si="10"/>
        <v>1.2194301066236554E-2</v>
      </c>
      <c r="U35" s="114">
        <f t="shared" si="10"/>
        <v>9.793669983848851E-3</v>
      </c>
      <c r="V35" s="114">
        <f t="shared" si="10"/>
        <v>1.6849119110709188E-2</v>
      </c>
      <c r="W35" s="114">
        <f t="shared" si="10"/>
        <v>8.7511751228831185E-3</v>
      </c>
      <c r="X35" s="341">
        <f t="shared" si="10"/>
        <v>2.6203288669963264E-2</v>
      </c>
      <c r="Y35" s="347"/>
    </row>
    <row r="36" spans="1:25" s="10" customFormat="1">
      <c r="A36" s="118"/>
      <c r="B36" s="118"/>
      <c r="C36" s="118"/>
      <c r="D36" s="118"/>
      <c r="E36" s="118"/>
      <c r="F36" s="118"/>
      <c r="G36" s="431" t="s">
        <v>49</v>
      </c>
      <c r="H36" s="118"/>
      <c r="I36" s="271" t="s">
        <v>48</v>
      </c>
      <c r="J36" s="118"/>
      <c r="K36" s="332"/>
      <c r="L36" s="332"/>
      <c r="M36" s="332"/>
      <c r="N36" s="334">
        <f>N37+N38</f>
        <v>1820359.4375192313</v>
      </c>
      <c r="O36" s="334">
        <f t="shared" ref="O36:Y36" si="11">O37+O38</f>
        <v>1813488.5760384623</v>
      </c>
      <c r="P36" s="334">
        <f t="shared" si="11"/>
        <v>1864651.8650384622</v>
      </c>
      <c r="Q36" s="334">
        <f t="shared" si="11"/>
        <v>1890990.1037884625</v>
      </c>
      <c r="R36" s="334">
        <f t="shared" si="11"/>
        <v>1925039.363403847</v>
      </c>
      <c r="S36" s="334">
        <f t="shared" si="11"/>
        <v>1944247.4292884625</v>
      </c>
      <c r="T36" s="334">
        <f t="shared" si="11"/>
        <v>1967956.1677884625</v>
      </c>
      <c r="U36" s="334">
        <f t="shared" si="11"/>
        <v>1987229.6810384626</v>
      </c>
      <c r="V36" s="334">
        <f t="shared" si="11"/>
        <v>2020712.7506346162</v>
      </c>
      <c r="W36" s="334">
        <f t="shared" si="11"/>
        <v>2038396.3617884626</v>
      </c>
      <c r="X36" s="334">
        <f t="shared" si="11"/>
        <v>2091809.0500802086</v>
      </c>
      <c r="Y36" s="334">
        <f t="shared" si="11"/>
        <v>12458033.831068601</v>
      </c>
    </row>
    <row r="37" spans="1:25">
      <c r="G37" s="432" t="s">
        <v>152</v>
      </c>
      <c r="I37" s="106"/>
      <c r="K37" s="110"/>
      <c r="L37" s="110"/>
      <c r="M37" s="110"/>
      <c r="N37" s="110">
        <f>[4]Airfield!N60</f>
        <v>1431104.9635192307</v>
      </c>
      <c r="O37" s="110">
        <f>[4]Airfield!O60</f>
        <v>1402917.3720384617</v>
      </c>
      <c r="P37" s="110">
        <f>[4]Airfield!P60</f>
        <v>1428649.5960384617</v>
      </c>
      <c r="Q37" s="110">
        <f>[4]Airfield!Q60</f>
        <v>1454464.2697884617</v>
      </c>
      <c r="R37" s="110">
        <f>[4]Airfield!R60</f>
        <v>1485650.7394038464</v>
      </c>
      <c r="S37" s="110">
        <f>[4]Airfield!S60</f>
        <v>1500935.2052884619</v>
      </c>
      <c r="T37" s="110">
        <f>[4]Airfield!T60</f>
        <v>1521582.1837884618</v>
      </c>
      <c r="U37" s="110">
        <f>[4]Airfield!U60</f>
        <v>1536582.007038462</v>
      </c>
      <c r="V37" s="110">
        <f>[4]Airfield!V60</f>
        <v>1565264.0666346157</v>
      </c>
      <c r="W37" s="110">
        <f>[4]Airfield!W60</f>
        <v>1580497.0977884619</v>
      </c>
      <c r="X37" s="110">
        <f>[4]Airfield!X60</f>
        <v>1624085.6462988991</v>
      </c>
      <c r="Y37" s="348">
        <f>NPV(Term_WACC, [4]Airfield!Y60:AH60)</f>
        <v>9701666.4234162979</v>
      </c>
    </row>
    <row r="38" spans="1:25">
      <c r="G38" s="432" t="s">
        <v>153</v>
      </c>
      <c r="I38" s="106"/>
      <c r="K38" s="110"/>
      <c r="L38" s="110"/>
      <c r="M38" s="110"/>
      <c r="N38" s="110">
        <f>[4]Airfield!N61</f>
        <v>389254.47400000063</v>
      </c>
      <c r="O38" s="110">
        <f>[4]Airfield!O61</f>
        <v>410571.20400000061</v>
      </c>
      <c r="P38" s="110">
        <f>[4]Airfield!P61</f>
        <v>436002.26900000061</v>
      </c>
      <c r="Q38" s="110">
        <f>[4]Airfield!Q61</f>
        <v>436525.83400000061</v>
      </c>
      <c r="R38" s="110">
        <f>[4]Airfield!R61</f>
        <v>439388.62400000065</v>
      </c>
      <c r="S38" s="110">
        <f>[4]Airfield!S61</f>
        <v>443312.22400000063</v>
      </c>
      <c r="T38" s="110">
        <f>[4]Airfield!T61</f>
        <v>446373.98400000058</v>
      </c>
      <c r="U38" s="110">
        <f>[4]Airfield!U61</f>
        <v>450647.67400000058</v>
      </c>
      <c r="V38" s="110">
        <f>[4]Airfield!V61</f>
        <v>455448.68400000065</v>
      </c>
      <c r="W38" s="110">
        <f>[4]Airfield!W61</f>
        <v>457899.26400000061</v>
      </c>
      <c r="X38" s="110">
        <f>[4]Airfield!X61</f>
        <v>467723.40378130949</v>
      </c>
      <c r="Y38" s="348">
        <f>NPV(Term_WACC, [4]Airfield!Y61:AH61)</f>
        <v>2756367.4076523036</v>
      </c>
    </row>
    <row r="39" spans="1:25">
      <c r="G39" s="430"/>
      <c r="H39" s="102"/>
      <c r="O39" s="108"/>
      <c r="P39" s="108"/>
      <c r="T39" s="100"/>
      <c r="U39" s="100"/>
      <c r="V39" s="100"/>
      <c r="W39" s="100"/>
      <c r="X39" s="100"/>
      <c r="Y39" s="344"/>
    </row>
    <row r="40" spans="1:25" ht="15.75">
      <c r="G40" s="429" t="s">
        <v>201</v>
      </c>
      <c r="H40" s="102"/>
      <c r="I40" s="106"/>
      <c r="P40" s="108"/>
      <c r="Q40" s="112"/>
      <c r="R40" s="111"/>
      <c r="S40" s="111"/>
      <c r="T40" s="111"/>
      <c r="U40" s="111"/>
      <c r="V40" s="111"/>
      <c r="W40" s="111"/>
      <c r="X40" s="111"/>
      <c r="Y40" s="344"/>
    </row>
    <row r="41" spans="1:25">
      <c r="G41" s="29" t="s">
        <v>47</v>
      </c>
      <c r="H41" s="102"/>
      <c r="I41" s="106"/>
      <c r="Q41" s="112"/>
      <c r="R41" s="111"/>
      <c r="S41" s="111"/>
      <c r="T41" s="665"/>
      <c r="U41" s="665"/>
      <c r="V41" s="665"/>
      <c r="W41" s="665"/>
      <c r="X41" s="665"/>
      <c r="Y41" s="344"/>
    </row>
    <row r="42" spans="1:25">
      <c r="G42" s="9" t="s">
        <v>46</v>
      </c>
      <c r="H42" s="102"/>
      <c r="I42" s="106"/>
      <c r="K42" s="110"/>
      <c r="L42" s="110"/>
      <c r="M42" s="110"/>
      <c r="N42" s="110">
        <f>'[2]Macro Input'!N73</f>
        <v>1405380.04837277</v>
      </c>
      <c r="O42" s="110">
        <f>'[2]Macro Input'!O73</f>
        <v>1355560.51210738</v>
      </c>
      <c r="P42" s="110">
        <f>'[2]Macro Input'!P73</f>
        <v>1457227.55054119</v>
      </c>
      <c r="Q42" s="110">
        <f>'[2]Macro Input'!Q73</f>
        <v>1602950.3054255201</v>
      </c>
      <c r="R42" s="110">
        <f>'[2]Macro Input'!R73</f>
        <v>1651038.8141850804</v>
      </c>
      <c r="S42" s="110">
        <f>'[2]Macro Input'!S73</f>
        <v>1700569.9796342803</v>
      </c>
      <c r="T42" s="110">
        <f>'[2]Macro Input'!T73</f>
        <v>1751587.0787111095</v>
      </c>
      <c r="U42" s="110">
        <f>'[2]Macro Input'!U73</f>
        <v>1804134.6898191499</v>
      </c>
      <c r="V42" s="110">
        <f>'[2]Macro Input'!V73</f>
        <v>1858258.7305649002</v>
      </c>
      <c r="W42" s="110">
        <f>'[2]Macro Input'!W73</f>
        <v>1914006.4932807498</v>
      </c>
      <c r="X42" s="110">
        <f>'[2]Macro Input'!X73</f>
        <v>2032956.5565714824</v>
      </c>
      <c r="Y42" s="348">
        <f>NPV(Term_WACC, '[2]Macro Input'!Y73:AH73)</f>
        <v>12360257.798617739</v>
      </c>
    </row>
    <row r="43" spans="1:25" s="10" customFormat="1">
      <c r="A43" s="118"/>
      <c r="B43" s="118"/>
      <c r="C43" s="118"/>
      <c r="D43" s="118"/>
      <c r="E43" s="118"/>
      <c r="F43" s="118"/>
      <c r="G43" s="9" t="s">
        <v>43</v>
      </c>
      <c r="H43" s="333"/>
      <c r="I43" s="271"/>
      <c r="J43" s="118"/>
      <c r="K43" s="334"/>
      <c r="L43" s="334"/>
      <c r="M43" s="334"/>
      <c r="N43" s="334">
        <f t="shared" ref="N43:S43" si="12">N42/2</f>
        <v>702690.02418638498</v>
      </c>
      <c r="O43" s="334">
        <f t="shared" si="12"/>
        <v>677780.25605368998</v>
      </c>
      <c r="P43" s="334">
        <f t="shared" si="12"/>
        <v>728613.77527059498</v>
      </c>
      <c r="Q43" s="334">
        <f t="shared" si="12"/>
        <v>801475.15271276003</v>
      </c>
      <c r="R43" s="334">
        <f t="shared" si="12"/>
        <v>825519.40709254018</v>
      </c>
      <c r="S43" s="334">
        <f t="shared" si="12"/>
        <v>850284.98981714016</v>
      </c>
      <c r="T43" s="334">
        <f t="shared" ref="T43:Y43" si="13">T42/2</f>
        <v>875793.53935555473</v>
      </c>
      <c r="U43" s="334">
        <f t="shared" si="13"/>
        <v>902067.34490957495</v>
      </c>
      <c r="V43" s="334">
        <f t="shared" si="13"/>
        <v>929129.3652824501</v>
      </c>
      <c r="W43" s="334">
        <f t="shared" si="13"/>
        <v>957003.24664037488</v>
      </c>
      <c r="X43" s="334">
        <f t="shared" si="13"/>
        <v>1016478.2782857412</v>
      </c>
      <c r="Y43" s="349">
        <f t="shared" si="13"/>
        <v>6180128.8993088696</v>
      </c>
    </row>
    <row r="44" spans="1:25">
      <c r="G44" s="9" t="s">
        <v>146</v>
      </c>
      <c r="H44" s="102"/>
      <c r="I44" s="106"/>
      <c r="K44" s="108"/>
      <c r="L44" s="108"/>
      <c r="M44" s="110"/>
      <c r="N44" s="110">
        <f>'[2]SUMMARY OUTPUT'!N88</f>
        <v>969632</v>
      </c>
      <c r="O44" s="110">
        <f>'[2]SUMMARY OUTPUT'!O88</f>
        <v>889241</v>
      </c>
      <c r="P44" s="110">
        <f>'[2]SUMMARY OUTPUT'!P88</f>
        <v>889241</v>
      </c>
      <c r="Q44" s="110">
        <f>'[2]SUMMARY OUTPUT'!Q88</f>
        <v>959338</v>
      </c>
      <c r="R44" s="110">
        <f>'[2]SUMMARY OUTPUT'!R88</f>
        <v>1013101</v>
      </c>
      <c r="S44" s="110">
        <f>'[2]SUMMARY OUTPUT'!S88</f>
        <v>1066610</v>
      </c>
      <c r="T44" s="110">
        <f>'[2]SUMMARY OUTPUT'!T88</f>
        <v>1111486</v>
      </c>
      <c r="U44" s="110">
        <f>'[2]SUMMARY OUTPUT'!U88</f>
        <v>1160029</v>
      </c>
      <c r="V44" s="110">
        <f>'[2]SUMMARY OUTPUT'!V88</f>
        <v>1223416</v>
      </c>
      <c r="W44" s="110">
        <f>'[2]SUMMARY OUTPUT'!W88</f>
        <v>1279512</v>
      </c>
      <c r="X44" s="110">
        <f>'[2]SUMMARY OUTPUT'!X88</f>
        <v>1326522.0649999999</v>
      </c>
      <c r="Y44" s="348">
        <f>NPV(Term_WACC, '[2]SUMMARY OUTPUT'!Y88:AH88)</f>
        <v>8065177.1165274456</v>
      </c>
    </row>
    <row r="45" spans="1:25">
      <c r="G45" s="433" t="s">
        <v>41</v>
      </c>
      <c r="H45" s="102"/>
      <c r="I45" s="106"/>
      <c r="K45" s="107"/>
      <c r="L45" s="107"/>
      <c r="M45" s="107"/>
      <c r="N45" s="107">
        <f t="shared" ref="N45:X45" si="14">N43/N44</f>
        <v>0.72469764218423582</v>
      </c>
      <c r="O45" s="107">
        <f t="shared" si="14"/>
        <v>0.7622008612442408</v>
      </c>
      <c r="P45" s="107">
        <f t="shared" si="14"/>
        <v>0.81936592585204127</v>
      </c>
      <c r="Q45" s="107">
        <f t="shared" si="14"/>
        <v>0.83544606042162406</v>
      </c>
      <c r="R45" s="107">
        <f t="shared" si="14"/>
        <v>0.81484413409180345</v>
      </c>
      <c r="S45" s="107">
        <f t="shared" si="14"/>
        <v>0.79718452838163922</v>
      </c>
      <c r="T45" s="107">
        <f t="shared" si="14"/>
        <v>0.78794833165289957</v>
      </c>
      <c r="U45" s="107">
        <f t="shared" si="14"/>
        <v>0.77762482223252605</v>
      </c>
      <c r="V45" s="107">
        <f t="shared" si="14"/>
        <v>0.75945497302834852</v>
      </c>
      <c r="W45" s="107">
        <f t="shared" si="14"/>
        <v>0.74794394006494269</v>
      </c>
      <c r="X45" s="107">
        <f t="shared" si="14"/>
        <v>0.76627317788772797</v>
      </c>
      <c r="Y45" s="350">
        <f>Y43/Y44</f>
        <v>0.76627317788772809</v>
      </c>
    </row>
    <row r="46" spans="1:25">
      <c r="G46" s="29" t="s">
        <v>45</v>
      </c>
      <c r="H46" s="102"/>
      <c r="I46" s="106"/>
      <c r="Q46" s="112"/>
      <c r="R46" s="111"/>
      <c r="S46" s="111"/>
      <c r="T46" s="111"/>
      <c r="U46" s="111"/>
      <c r="V46" s="111"/>
      <c r="W46" s="111"/>
      <c r="X46" s="111"/>
      <c r="Y46" s="351"/>
    </row>
    <row r="47" spans="1:25">
      <c r="G47" s="9" t="s">
        <v>43</v>
      </c>
      <c r="H47" s="102"/>
      <c r="I47" s="106"/>
      <c r="M47" s="110"/>
      <c r="N47" s="110">
        <f>'[2]SUMMARY OUTPUT'!N91</f>
        <v>1327814.8617457699</v>
      </c>
      <c r="O47" s="110">
        <f>'[2]SUMMARY OUTPUT'!O91</f>
        <v>1290779.88721252</v>
      </c>
      <c r="P47" s="110">
        <f>'[2]SUMMARY OUTPUT'!P91</f>
        <v>1305893.5266257601</v>
      </c>
      <c r="Q47" s="110">
        <f>'[2]SUMMARY OUTPUT'!Q91</f>
        <v>1337230.1202835401</v>
      </c>
      <c r="R47" s="110">
        <f>'[2]SUMMARY OUTPUT'!R91</f>
        <v>1372474.4360229052</v>
      </c>
      <c r="S47" s="110">
        <f>'[2]SUMMARY OUTPUT'!S91</f>
        <v>1405083.1854069952</v>
      </c>
      <c r="T47" s="110">
        <f>'[2]SUMMARY OUTPUT'!T91</f>
        <v>1440067.8821269996</v>
      </c>
      <c r="U47" s="110">
        <f>'[2]SUMMARY OUTPUT'!U91</f>
        <v>1476358.4318761404</v>
      </c>
      <c r="V47" s="110">
        <f>'[2]SUMMARY OUTPUT'!V91</f>
        <v>1514320.72688221</v>
      </c>
      <c r="W47" s="110">
        <f>'[2]SUMMARY OUTPUT'!W91</f>
        <v>1544586.8852456901</v>
      </c>
      <c r="X47" s="110">
        <f>'[2]SUMMARY OUTPUT'!X91</f>
        <v>1576424.0718282633</v>
      </c>
      <c r="Y47" s="348">
        <f>NPV(Term_WACC, '[2]SUMMARY OUTPUT'!Y91:AH91)</f>
        <v>9376122.3601144496</v>
      </c>
    </row>
    <row r="48" spans="1:25">
      <c r="G48" s="9" t="s">
        <v>42</v>
      </c>
      <c r="H48" s="102"/>
      <c r="I48" s="106"/>
      <c r="M48" s="110"/>
      <c r="N48" s="110">
        <f>'[2]SUMMARY OUTPUT'!N92</f>
        <v>1744908</v>
      </c>
      <c r="O48" s="110">
        <f>'[2]SUMMARY OUTPUT'!O92</f>
        <v>1823073</v>
      </c>
      <c r="P48" s="110">
        <f>'[2]SUMMARY OUTPUT'!P92</f>
        <v>1977165</v>
      </c>
      <c r="Q48" s="110">
        <f>'[2]SUMMARY OUTPUT'!Q92</f>
        <v>1995810</v>
      </c>
      <c r="R48" s="110">
        <f>'[2]SUMMARY OUTPUT'!R92</f>
        <v>2006432</v>
      </c>
      <c r="S48" s="110">
        <f>'[2]SUMMARY OUTPUT'!S92</f>
        <v>2002713</v>
      </c>
      <c r="T48" s="110">
        <f>'[2]SUMMARY OUTPUT'!T92</f>
        <v>2011371</v>
      </c>
      <c r="U48" s="110">
        <f>'[2]SUMMARY OUTPUT'!U92</f>
        <v>2004656</v>
      </c>
      <c r="V48" s="110">
        <f>'[2]SUMMARY OUTPUT'!V92</f>
        <v>2016133</v>
      </c>
      <c r="W48" s="110">
        <f>'[2]SUMMARY OUTPUT'!W92</f>
        <v>2017156</v>
      </c>
      <c r="X48" s="110">
        <f>'[2]SUMMARY OUTPUT'!X92</f>
        <v>2057261.1926385816</v>
      </c>
      <c r="Y48" s="348">
        <f>NPV(Term_WACC, '[2]SUMMARY OUTPUT'!Y92:AH92)</f>
        <v>12236004.900967851</v>
      </c>
    </row>
    <row r="49" spans="7:25">
      <c r="G49" s="433" t="s">
        <v>41</v>
      </c>
      <c r="H49" s="102"/>
      <c r="I49" s="106"/>
      <c r="M49" s="107"/>
      <c r="N49" s="107">
        <f t="shared" ref="N49:S49" si="15">N47/N48</f>
        <v>0.7609655418771476</v>
      </c>
      <c r="O49" s="107">
        <f t="shared" si="15"/>
        <v>0.70802424654005625</v>
      </c>
      <c r="P49" s="107">
        <f t="shared" si="15"/>
        <v>0.66048788372531386</v>
      </c>
      <c r="Q49" s="107">
        <f t="shared" si="15"/>
        <v>0.67001874942180872</v>
      </c>
      <c r="R49" s="107">
        <f t="shared" si="15"/>
        <v>0.6840373538813701</v>
      </c>
      <c r="S49" s="107">
        <f t="shared" si="15"/>
        <v>0.70158988602310723</v>
      </c>
      <c r="T49" s="107">
        <f t="shared" ref="T49:Y49" si="16">T47/T48</f>
        <v>0.71596333154201763</v>
      </c>
      <c r="U49" s="107">
        <f t="shared" si="16"/>
        <v>0.73646472605581226</v>
      </c>
      <c r="V49" s="107">
        <f t="shared" si="16"/>
        <v>0.75110160236562273</v>
      </c>
      <c r="W49" s="107">
        <f t="shared" si="16"/>
        <v>0.76572505311720562</v>
      </c>
      <c r="X49" s="107">
        <f t="shared" si="16"/>
        <v>0.76627317788772797</v>
      </c>
      <c r="Y49" s="350">
        <f t="shared" si="16"/>
        <v>0.76627317788772797</v>
      </c>
    </row>
    <row r="50" spans="7:25">
      <c r="G50" s="29" t="s">
        <v>44</v>
      </c>
      <c r="I50" s="106"/>
      <c r="T50" s="100"/>
      <c r="U50" s="100"/>
      <c r="V50" s="100"/>
      <c r="W50" s="100"/>
      <c r="X50" s="100"/>
      <c r="Y50" s="352"/>
    </row>
    <row r="51" spans="7:25">
      <c r="G51" s="9" t="s">
        <v>43</v>
      </c>
      <c r="I51" s="106"/>
      <c r="M51" s="110"/>
      <c r="N51" s="110">
        <f>'[2]SUMMARY OUTPUT'!N95</f>
        <v>736014.83569701004</v>
      </c>
      <c r="O51" s="110">
        <f>'[2]SUMMARY OUTPUT'!O95</f>
        <v>764110.79590985004</v>
      </c>
      <c r="P51" s="110">
        <f>'[2]SUMMARY OUTPUT'!P95</f>
        <v>790094.39228110528</v>
      </c>
      <c r="Q51" s="110">
        <f>'[2]SUMMARY OUTPUT'!Q95</f>
        <v>811151.05594972509</v>
      </c>
      <c r="R51" s="110">
        <f>'[2]SUMMARY OUTPUT'!R95</f>
        <v>829624.78882297524</v>
      </c>
      <c r="S51" s="110">
        <f>'[2]SUMMARY OUTPUT'!S95</f>
        <v>852059.2300491198</v>
      </c>
      <c r="T51" s="110">
        <f>'[2]SUMMARY OUTPUT'!T95</f>
        <v>873512.99114140007</v>
      </c>
      <c r="U51" s="110">
        <f>'[2]SUMMARY OUTPUT'!U95</f>
        <v>895053.46697010542</v>
      </c>
      <c r="V51" s="110">
        <f>'[2]SUMMARY OUTPUT'!V95</f>
        <v>916389.38761913998</v>
      </c>
      <c r="W51" s="110">
        <f>'[2]SUMMARY OUTPUT'!W95</f>
        <v>934726.21074413008</v>
      </c>
      <c r="X51" s="110">
        <f>'[2]SUMMARY OUTPUT'!X95</f>
        <v>911476.99644580099</v>
      </c>
      <c r="Y51" s="348">
        <f>NPV(Term_WACC, '[2]SUMMARY OUTPUT'!Y95:AH95)</f>
        <v>5421206.1334448159</v>
      </c>
    </row>
    <row r="52" spans="7:25">
      <c r="G52" s="9" t="s">
        <v>42</v>
      </c>
      <c r="I52" s="106"/>
      <c r="M52" s="110"/>
      <c r="N52" s="110">
        <f>'[2]SUMMARY OUTPUT'!N96</f>
        <v>974603</v>
      </c>
      <c r="O52" s="110">
        <f>'[2]SUMMARY OUTPUT'!O96</f>
        <v>1038345</v>
      </c>
      <c r="P52" s="110">
        <f>'[2]SUMMARY OUTPUT'!P96</f>
        <v>1094823</v>
      </c>
      <c r="Q52" s="110">
        <f>'[2]SUMMARY OUTPUT'!Q96</f>
        <v>1096289</v>
      </c>
      <c r="R52" s="110">
        <f>'[2]SUMMARY OUTPUT'!R96</f>
        <v>1104465</v>
      </c>
      <c r="S52" s="110">
        <f>'[2]SUMMARY OUTPUT'!S96</f>
        <v>1117308</v>
      </c>
      <c r="T52" s="110">
        <f>'[2]SUMMARY OUTPUT'!T96</f>
        <v>1126340</v>
      </c>
      <c r="U52" s="110">
        <f>'[2]SUMMARY OUTPUT'!U96</f>
        <v>1139500</v>
      </c>
      <c r="V52" s="110">
        <f>'[2]SUMMARY OUTPUT'!V96</f>
        <v>1153912</v>
      </c>
      <c r="W52" s="110">
        <f>'[2]SUMMARY OUTPUT'!W96</f>
        <v>1161836</v>
      </c>
      <c r="X52" s="110">
        <f>'[2]SUMMARY OUTPUT'!X96</f>
        <v>1189493.5419223923</v>
      </c>
      <c r="Y52" s="348">
        <f>NPV(Term_WACC, '[2]SUMMARY OUTPUT'!Y96:AH96)</f>
        <v>7074769.533743374</v>
      </c>
    </row>
    <row r="53" spans="7:25">
      <c r="G53" s="433" t="s">
        <v>41</v>
      </c>
      <c r="I53" s="106"/>
      <c r="M53" s="109"/>
      <c r="N53" s="109">
        <f t="shared" ref="N53:S53" si="17">N51/N52</f>
        <v>0.75519451068487375</v>
      </c>
      <c r="O53" s="109">
        <f t="shared" si="17"/>
        <v>0.73589297960682631</v>
      </c>
      <c r="P53" s="109">
        <f t="shared" si="17"/>
        <v>0.72166404275495244</v>
      </c>
      <c r="Q53" s="109">
        <f t="shared" si="17"/>
        <v>0.73990622541111428</v>
      </c>
      <c r="R53" s="109">
        <f t="shared" si="17"/>
        <v>0.75115534564062714</v>
      </c>
      <c r="S53" s="109">
        <f t="shared" si="17"/>
        <v>0.76260013357920986</v>
      </c>
      <c r="T53" s="109">
        <f t="shared" ref="T53:Y53" si="18">T51/T52</f>
        <v>0.77553224704920365</v>
      </c>
      <c r="U53" s="109">
        <f t="shared" si="18"/>
        <v>0.78547912853892532</v>
      </c>
      <c r="V53" s="109">
        <f t="shared" si="18"/>
        <v>0.79415881594015836</v>
      </c>
      <c r="W53" s="109">
        <f t="shared" si="18"/>
        <v>0.80452508851862925</v>
      </c>
      <c r="X53" s="109">
        <f t="shared" si="18"/>
        <v>0.76627317788772797</v>
      </c>
      <c r="Y53" s="353">
        <f t="shared" si="18"/>
        <v>0.76627317788772809</v>
      </c>
    </row>
    <row r="54" spans="7:25">
      <c r="G54" s="434"/>
      <c r="I54" s="106"/>
      <c r="T54" s="100"/>
      <c r="U54" s="100"/>
      <c r="V54" s="100"/>
      <c r="W54" s="100"/>
      <c r="X54" s="100"/>
      <c r="Y54" s="352"/>
    </row>
    <row r="55" spans="7:25">
      <c r="G55" s="434" t="s">
        <v>40</v>
      </c>
      <c r="I55" s="106"/>
      <c r="M55" s="108"/>
      <c r="N55" s="108">
        <f>N43+N47+N51</f>
        <v>2766519.7216291651</v>
      </c>
      <c r="O55" s="108">
        <f t="shared" ref="O55:X55" si="19">O43+O47+O51</f>
        <v>2732670.9391760598</v>
      </c>
      <c r="P55" s="108">
        <f t="shared" si="19"/>
        <v>2824601.6941774604</v>
      </c>
      <c r="Q55" s="108">
        <f t="shared" si="19"/>
        <v>2949856.3289460251</v>
      </c>
      <c r="R55" s="108">
        <f t="shared" si="19"/>
        <v>3027618.6319384202</v>
      </c>
      <c r="S55" s="108">
        <f t="shared" si="19"/>
        <v>3107427.4052732554</v>
      </c>
      <c r="T55" s="108">
        <f t="shared" si="19"/>
        <v>3189374.412623954</v>
      </c>
      <c r="U55" s="108">
        <f t="shared" si="19"/>
        <v>3273479.2437558211</v>
      </c>
      <c r="V55" s="108">
        <f t="shared" si="19"/>
        <v>3359839.4797838</v>
      </c>
      <c r="W55" s="108">
        <f t="shared" si="19"/>
        <v>3436316.342630195</v>
      </c>
      <c r="X55" s="108">
        <f t="shared" si="19"/>
        <v>3504379.3465598058</v>
      </c>
      <c r="Y55" s="354">
        <f>Y43+Y47+Y51</f>
        <v>20977457.392868135</v>
      </c>
    </row>
    <row r="56" spans="7:25">
      <c r="G56" s="434" t="s">
        <v>39</v>
      </c>
      <c r="I56" s="106"/>
      <c r="N56" s="107"/>
      <c r="O56" s="107">
        <f t="shared" ref="O56:X56" si="20">O55/N55-1</f>
        <v>-1.2235149523232791E-2</v>
      </c>
      <c r="P56" s="107">
        <f t="shared" si="20"/>
        <v>3.364135567274662E-2</v>
      </c>
      <c r="Q56" s="107">
        <f t="shared" si="20"/>
        <v>4.4344176039673222E-2</v>
      </c>
      <c r="R56" s="107">
        <f t="shared" si="20"/>
        <v>2.6361386562910871E-2</v>
      </c>
      <c r="S56" s="107">
        <f t="shared" si="20"/>
        <v>2.636024646331947E-2</v>
      </c>
      <c r="T56" s="107">
        <f t="shared" si="20"/>
        <v>2.6371334439425853E-2</v>
      </c>
      <c r="U56" s="107">
        <f t="shared" si="20"/>
        <v>2.6370322279807956E-2</v>
      </c>
      <c r="V56" s="107">
        <f t="shared" si="20"/>
        <v>2.6381788182317401E-2</v>
      </c>
      <c r="W56" s="107">
        <f t="shared" si="20"/>
        <v>2.2762058516949235E-2</v>
      </c>
      <c r="X56" s="107">
        <f t="shared" si="20"/>
        <v>1.9806966863101572E-2</v>
      </c>
      <c r="Y56" s="350"/>
    </row>
    <row r="57" spans="7:25">
      <c r="G57" s="9"/>
      <c r="I57" s="106"/>
      <c r="T57" s="100"/>
      <c r="U57" s="100"/>
      <c r="V57" s="100"/>
      <c r="W57" s="100"/>
      <c r="X57" s="100"/>
    </row>
    <row r="64" spans="7:25" ht="15" customHeight="1"/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&amp;L&amp;D&amp;R&amp;P of &amp;N</oddFooter>
  </headerFooter>
  <colBreaks count="1" manualBreakCount="1">
    <brk id="34" max="1048575" man="1"/>
  </colBreaks>
  <customProperties>
    <customPr name="SSCSheetTrackingNo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70C0"/>
    <pageSetUpPr fitToPage="1"/>
  </sheetPr>
  <dimension ref="A1:Y185"/>
  <sheetViews>
    <sheetView showGridLines="0" zoomScale="70" zoomScaleNormal="70" zoomScaleSheetLayoutView="100" workbookViewId="0">
      <pane ySplit="9" topLeftCell="A10" activePane="bottomLeft" state="frozen"/>
      <selection activeCell="E242" sqref="E242"/>
      <selection pane="bottomLeft" activeCell="N28" sqref="N28"/>
    </sheetView>
  </sheetViews>
  <sheetFormatPr defaultColWidth="9.140625" defaultRowHeight="12.75" outlineLevelRow="1" outlineLevelCol="1"/>
  <cols>
    <col min="1" max="1" width="11.5703125" style="100" customWidth="1" outlineLevel="1"/>
    <col min="2" max="2" width="5.28515625" style="100" bestFit="1" customWidth="1" outlineLevel="1"/>
    <col min="3" max="3" width="8.5703125" style="100" customWidth="1" outlineLevel="1"/>
    <col min="4" max="5" width="1.5703125" style="100" customWidth="1" outlineLevel="1"/>
    <col min="6" max="6" width="13.5703125" style="122" customWidth="1"/>
    <col min="7" max="7" width="33.28515625" style="100" customWidth="1"/>
    <col min="8" max="8" width="2" style="100" bestFit="1" customWidth="1"/>
    <col min="9" max="9" width="4.5703125" style="100" hidden="1" customWidth="1" outlineLevel="1"/>
    <col min="10" max="10" width="2" style="100" hidden="1" customWidth="1" outlineLevel="1"/>
    <col min="11" max="11" width="12" style="100" hidden="1" customWidth="1" outlineLevel="1"/>
    <col min="12" max="13" width="8.7109375" style="100" hidden="1" customWidth="1" outlineLevel="1"/>
    <col min="14" max="14" width="18" style="100" bestFit="1" customWidth="1" collapsed="1"/>
    <col min="15" max="16" width="11.140625" style="100" bestFit="1" customWidth="1"/>
    <col min="17" max="24" width="10.42578125" style="100" bestFit="1" customWidth="1"/>
    <col min="25" max="25" width="13.5703125" style="352" bestFit="1" customWidth="1"/>
    <col min="26" max="52" width="11.5703125" customWidth="1"/>
  </cols>
  <sheetData>
    <row r="1" spans="1:25">
      <c r="A1" s="129"/>
      <c r="B1" s="129"/>
      <c r="C1" s="129"/>
      <c r="D1" s="129"/>
      <c r="E1" s="129"/>
      <c r="F1" s="151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355"/>
    </row>
    <row r="2" spans="1:25" ht="21">
      <c r="A2" s="129"/>
      <c r="B2" s="129"/>
      <c r="C2" s="129"/>
      <c r="D2" s="129"/>
      <c r="E2" s="129"/>
      <c r="F2" s="151"/>
      <c r="G2" s="132" t="str">
        <f>'Volume &amp; CPI forecast'!G2</f>
        <v>Christchurch International Airport - Simplfied Pricing Model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355"/>
    </row>
    <row r="3" spans="1:25">
      <c r="A3" s="129"/>
      <c r="B3" s="129"/>
      <c r="C3" s="129"/>
      <c r="D3" s="129"/>
      <c r="E3" s="129"/>
      <c r="F3" s="151"/>
      <c r="G3" s="131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55"/>
    </row>
    <row r="4" spans="1:25">
      <c r="A4" s="129"/>
      <c r="B4" s="129"/>
      <c r="C4" s="129"/>
      <c r="D4" s="129"/>
      <c r="E4" s="129"/>
      <c r="F4" s="151"/>
      <c r="G4" s="130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355"/>
    </row>
    <row r="5" spans="1:25">
      <c r="A5" s="122"/>
      <c r="B5" s="122"/>
      <c r="C5" s="122"/>
      <c r="D5" s="122"/>
      <c r="E5" s="122"/>
      <c r="G5" s="122">
        <v>1</v>
      </c>
      <c r="H5" s="122">
        <f t="shared" ref="H5:S5" si="0">G5+1</f>
        <v>2</v>
      </c>
      <c r="I5" s="122">
        <f t="shared" si="0"/>
        <v>3</v>
      </c>
      <c r="J5" s="122">
        <f t="shared" si="0"/>
        <v>4</v>
      </c>
      <c r="K5" s="122">
        <f t="shared" si="0"/>
        <v>5</v>
      </c>
      <c r="L5" s="122">
        <f t="shared" si="0"/>
        <v>6</v>
      </c>
      <c r="M5" s="122">
        <f t="shared" si="0"/>
        <v>7</v>
      </c>
      <c r="N5" s="122">
        <f t="shared" si="0"/>
        <v>8</v>
      </c>
      <c r="O5" s="122">
        <f t="shared" si="0"/>
        <v>9</v>
      </c>
      <c r="P5" s="122">
        <f t="shared" si="0"/>
        <v>10</v>
      </c>
      <c r="Q5" s="122">
        <f t="shared" si="0"/>
        <v>11</v>
      </c>
      <c r="R5" s="122">
        <f t="shared" si="0"/>
        <v>12</v>
      </c>
      <c r="S5" s="122">
        <f t="shared" si="0"/>
        <v>13</v>
      </c>
      <c r="T5" s="122">
        <f t="shared" ref="T5:Y5" si="1">S5+1</f>
        <v>14</v>
      </c>
      <c r="U5" s="122">
        <f t="shared" si="1"/>
        <v>15</v>
      </c>
      <c r="V5" s="122">
        <f t="shared" si="1"/>
        <v>16</v>
      </c>
      <c r="W5" s="122">
        <f t="shared" si="1"/>
        <v>17</v>
      </c>
      <c r="X5" s="122">
        <f t="shared" si="1"/>
        <v>18</v>
      </c>
      <c r="Y5" s="356">
        <f t="shared" si="1"/>
        <v>19</v>
      </c>
    </row>
    <row r="6" spans="1:25">
      <c r="G6" s="126"/>
      <c r="H6" s="125"/>
    </row>
    <row r="7" spans="1:25">
      <c r="G7" s="126"/>
      <c r="H7" s="125"/>
      <c r="I7" s="196"/>
    </row>
    <row r="8" spans="1:25" ht="15">
      <c r="I8" s="124"/>
      <c r="K8" s="195">
        <f>'Volume &amp; CPI forecast'!K10</f>
        <v>39994</v>
      </c>
      <c r="L8" s="195">
        <f>'Volume &amp; CPI forecast'!L10</f>
        <v>40359</v>
      </c>
      <c r="M8" s="195">
        <f>'Volume &amp; CPI forecast'!M10</f>
        <v>40724</v>
      </c>
      <c r="N8" s="123">
        <f>'Volume &amp; CPI forecast'!N10</f>
        <v>41090</v>
      </c>
      <c r="O8" s="123">
        <f>'Volume &amp; CPI forecast'!O10</f>
        <v>41455</v>
      </c>
      <c r="P8" s="123">
        <f>'Volume &amp; CPI forecast'!P10</f>
        <v>41820</v>
      </c>
      <c r="Q8" s="123">
        <f>'Volume &amp; CPI forecast'!Q10</f>
        <v>42185</v>
      </c>
      <c r="R8" s="123">
        <f>'Volume &amp; CPI forecast'!R10</f>
        <v>42551</v>
      </c>
      <c r="S8" s="123">
        <f>'Volume &amp; CPI forecast'!S10</f>
        <v>42916</v>
      </c>
      <c r="T8" s="123">
        <f>'Volume &amp; CPI forecast'!T10</f>
        <v>43281</v>
      </c>
      <c r="U8" s="123">
        <f>'Volume &amp; CPI forecast'!U10</f>
        <v>43646</v>
      </c>
      <c r="V8" s="123">
        <f>'Volume &amp; CPI forecast'!V10</f>
        <v>44012</v>
      </c>
      <c r="W8" s="123">
        <f>'Volume &amp; CPI forecast'!W10</f>
        <v>44377</v>
      </c>
      <c r="X8" s="123">
        <f>'Volume &amp; CPI forecast'!X10</f>
        <v>44742</v>
      </c>
      <c r="Y8" s="342">
        <f>'Volume &amp; CPI forecast'!Y10</f>
        <v>45107</v>
      </c>
    </row>
    <row r="9" spans="1:25" ht="15">
      <c r="G9" s="44"/>
      <c r="H9" s="44"/>
      <c r="K9" s="194" t="str">
        <f>'Volume &amp; CPI forecast'!K11</f>
        <v>Actual   $</v>
      </c>
      <c r="L9" s="194" t="str">
        <f>'Volume &amp; CPI forecast'!L11</f>
        <v>Actual   $</v>
      </c>
      <c r="M9" s="194" t="str">
        <f>'Volume &amp; CPI forecast'!M11</f>
        <v>Actual   $</v>
      </c>
      <c r="N9" s="94" t="str">
        <f>'Volume &amp; CPI forecast'!N11</f>
        <v>Bus Plan   $</v>
      </c>
      <c r="O9" s="94" t="str">
        <f>'Volume &amp; CPI forecast'!O11</f>
        <v>Bus Plan   $</v>
      </c>
      <c r="P9" s="94" t="str">
        <f>'Volume &amp; CPI forecast'!P11</f>
        <v>Bus Plan   $</v>
      </c>
      <c r="Q9" s="94" t="str">
        <f>'Volume &amp; CPI forecast'!Q11</f>
        <v>Forecast   $</v>
      </c>
      <c r="R9" s="94" t="str">
        <f>'Volume &amp; CPI forecast'!R11</f>
        <v>Forecast   $</v>
      </c>
      <c r="S9" s="94" t="str">
        <f>'Volume &amp; CPI forecast'!S11</f>
        <v>Forecast   $</v>
      </c>
      <c r="T9" s="94" t="str">
        <f>'Volume &amp; CPI forecast'!T11</f>
        <v>Forecast   $</v>
      </c>
      <c r="U9" s="94" t="str">
        <f>'Volume &amp; CPI forecast'!U11</f>
        <v>Forecast   $</v>
      </c>
      <c r="V9" s="94" t="str">
        <f>'Volume &amp; CPI forecast'!V11</f>
        <v>Forecast   $</v>
      </c>
      <c r="W9" s="94" t="str">
        <f>'Volume &amp; CPI forecast'!W11</f>
        <v>Forecast   $</v>
      </c>
      <c r="X9" s="94" t="str">
        <f>'Volume &amp; CPI forecast'!X11</f>
        <v>Forecast   $</v>
      </c>
      <c r="Y9" s="343" t="str">
        <f>'Volume &amp; CPI forecast'!Y11</f>
        <v>Terminal value</v>
      </c>
    </row>
    <row r="10" spans="1:25">
      <c r="G10" s="44"/>
      <c r="H10" s="4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357"/>
    </row>
    <row r="11" spans="1:25" ht="15.75">
      <c r="G11" s="89" t="s">
        <v>75</v>
      </c>
      <c r="H11" s="121"/>
    </row>
    <row r="12" spans="1:25" ht="14.25" customHeight="1">
      <c r="G12" s="193"/>
      <c r="H12" s="102"/>
    </row>
    <row r="13" spans="1:25">
      <c r="G13" s="103" t="s">
        <v>74</v>
      </c>
      <c r="H13" s="102"/>
      <c r="K13" s="158"/>
      <c r="L13" s="158"/>
      <c r="M13" s="158"/>
      <c r="N13" s="158">
        <f>'[2]Fin Stats - Input'!N33</f>
        <v>17080721</v>
      </c>
      <c r="O13" s="158">
        <f>'[2]Fin Stats - Input'!O33</f>
        <v>18564843.825388256</v>
      </c>
      <c r="P13" s="158">
        <f>'[2]Fin Stats - Input'!P33</f>
        <v>19742781.74031195</v>
      </c>
      <c r="Q13" s="158">
        <f>'[5]Fin Stats - Input'!Q33</f>
        <v>20262058.087872185</v>
      </c>
      <c r="R13" s="158">
        <f>'[5]Fin Stats - Input'!R33</f>
        <v>20687561.307717498</v>
      </c>
      <c r="S13" s="158">
        <f>'[5]Fin Stats - Input'!S33</f>
        <v>21122000.095179565</v>
      </c>
      <c r="T13" s="158">
        <f>'[5]Fin Stats - Input'!T33</f>
        <v>21650050.097559053</v>
      </c>
      <c r="U13" s="158">
        <f>'[5]Fin Stats - Input'!U33</f>
        <v>22191301.349998027</v>
      </c>
      <c r="V13" s="158">
        <f>'[5]Fin Stats - Input'!V33</f>
        <v>22746083.883747976</v>
      </c>
      <c r="W13" s="158">
        <f>'[5]Fin Stats - Input'!W33</f>
        <v>23314735.980841674</v>
      </c>
      <c r="X13" s="158">
        <f>'[5]Fin Stats - Input'!X33</f>
        <v>23897604.380362712</v>
      </c>
      <c r="Y13" s="158">
        <f>NPV(Term_WACC, '[6]Fin Stats - Input'!Y33:AH33)</f>
        <v>142018496.34307346</v>
      </c>
    </row>
    <row r="14" spans="1:25">
      <c r="G14" s="103" t="s">
        <v>122</v>
      </c>
      <c r="H14" s="102"/>
      <c r="K14" s="158"/>
      <c r="L14" s="158"/>
      <c r="M14" s="158"/>
      <c r="N14" s="158">
        <f>'[2]Fin Stats - Input'!N34</f>
        <v>5014035</v>
      </c>
      <c r="O14" s="158">
        <f>'[2]Fin Stats - Input'!O34</f>
        <v>1400000</v>
      </c>
      <c r="P14" s="158">
        <f>'[2]Fin Stats - Input'!P34</f>
        <v>1442200</v>
      </c>
      <c r="Q14" s="158">
        <f>'[5]Fin Stats - Input'!Q34</f>
        <v>1485259.9999999995</v>
      </c>
      <c r="R14" s="158">
        <f>'[5]Fin Stats - Input'!R34</f>
        <v>1524413.5130064285</v>
      </c>
      <c r="S14" s="158">
        <f>'[5]Fin Stats - Input'!S34</f>
        <v>1564597.4289212925</v>
      </c>
      <c r="T14" s="158">
        <f>'[5]Fin Stats - Input'!T34</f>
        <v>1605857.9509824417</v>
      </c>
      <c r="U14" s="158">
        <f>'[5]Fin Stats - Input'!U34</f>
        <v>1648204.9426854406</v>
      </c>
      <c r="V14" s="158">
        <f>'[5]Fin Stats - Input'!V34</f>
        <v>1691687.5363644166</v>
      </c>
      <c r="W14" s="158">
        <f>'[5]Fin Stats - Input'!W34</f>
        <v>1730193.8270595372</v>
      </c>
      <c r="X14" s="158">
        <f>'[5]Fin Stats - Input'!X34</f>
        <v>1764463.7188588483</v>
      </c>
      <c r="Y14" s="158">
        <f>NPV(Term_WACC, '[6]Fin Stats - Input'!Y34:AH34)</f>
        <v>10562201.983058473</v>
      </c>
    </row>
    <row r="15" spans="1:25">
      <c r="G15" s="103" t="s">
        <v>121</v>
      </c>
      <c r="H15" s="102"/>
      <c r="K15" s="158"/>
      <c r="L15" s="158"/>
      <c r="M15" s="158"/>
      <c r="N15" s="158">
        <f>'[2]Fin Stats - Input'!N35</f>
        <v>1271205</v>
      </c>
      <c r="O15" s="158">
        <f>'[2]Fin Stats - Input'!O35</f>
        <v>1491534.04</v>
      </c>
      <c r="P15" s="158">
        <f>'[2]Fin Stats - Input'!P35</f>
        <v>1380044</v>
      </c>
      <c r="Q15" s="158">
        <f>'[5]Fin Stats - Input'!Q35</f>
        <v>1385624.4</v>
      </c>
      <c r="R15" s="158">
        <f>'[5]Fin Stats - Input'!R35</f>
        <v>1414722.5123999999</v>
      </c>
      <c r="S15" s="158">
        <f>'[5]Fin Stats - Input'!S35</f>
        <v>1444431.6851603996</v>
      </c>
      <c r="T15" s="158">
        <f>'[5]Fin Stats - Input'!T35</f>
        <v>1480542.4772894096</v>
      </c>
      <c r="U15" s="158">
        <f>'[5]Fin Stats - Input'!U35</f>
        <v>1517556.0392216446</v>
      </c>
      <c r="V15" s="158">
        <f>'[5]Fin Stats - Input'!V35</f>
        <v>1555494.9402021857</v>
      </c>
      <c r="W15" s="158">
        <f>'[5]Fin Stats - Input'!W35</f>
        <v>1594382.3137072402</v>
      </c>
      <c r="X15" s="158">
        <f>'[5]Fin Stats - Input'!X35</f>
        <v>1634241.8715499211</v>
      </c>
      <c r="Y15" s="158">
        <f>NPV(Term_WACC, '[6]Fin Stats - Input'!Y35:AH35)</f>
        <v>9711959.8083700221</v>
      </c>
    </row>
    <row r="16" spans="1:25">
      <c r="G16" s="103" t="s">
        <v>120</v>
      </c>
      <c r="H16" s="102"/>
      <c r="K16" s="158"/>
      <c r="L16" s="158"/>
      <c r="M16" s="158"/>
      <c r="N16" s="158">
        <f>'[2]Fin Stats - Input'!N36</f>
        <v>7914852</v>
      </c>
      <c r="O16" s="158">
        <f>'[2]Fin Stats - Input'!O36</f>
        <v>8914913.5284689609</v>
      </c>
      <c r="P16" s="158">
        <f>'[2]Fin Stats - Input'!P36</f>
        <v>9860650.4487230275</v>
      </c>
      <c r="Q16" s="158">
        <f>'[5]Fin Stats - Input'!Q36</f>
        <v>10197456.503284719</v>
      </c>
      <c r="R16" s="158">
        <f>'[5]Fin Stats - Input'!R36</f>
        <v>10411603.089853697</v>
      </c>
      <c r="S16" s="158">
        <f>'[5]Fin Stats - Input'!S36</f>
        <v>10630246.754740624</v>
      </c>
      <c r="T16" s="158">
        <f>'[5]Fin Stats - Input'!T36</f>
        <v>10896002.923609138</v>
      </c>
      <c r="U16" s="158">
        <f>'[5]Fin Stats - Input'!U36</f>
        <v>11168402.996699365</v>
      </c>
      <c r="V16" s="158">
        <f>'[5]Fin Stats - Input'!V36</f>
        <v>11447613.071616847</v>
      </c>
      <c r="W16" s="158">
        <f>'[5]Fin Stats - Input'!W36</f>
        <v>11733803.398407267</v>
      </c>
      <c r="X16" s="158">
        <f>'[5]Fin Stats - Input'!X36</f>
        <v>12027148.483367449</v>
      </c>
      <c r="Y16" s="158">
        <f>NPV(Term_WACC, '[6]Fin Stats - Input'!Y36:AH36)</f>
        <v>71474843.909722343</v>
      </c>
    </row>
    <row r="17" spans="6:25">
      <c r="G17" s="103" t="s">
        <v>119</v>
      </c>
      <c r="H17" s="102"/>
      <c r="K17" s="158"/>
      <c r="L17" s="158"/>
      <c r="M17" s="158"/>
      <c r="N17" s="158">
        <f>'[2]Fin Stats - Input'!N37</f>
        <v>2024449.0016064791</v>
      </c>
      <c r="O17" s="158">
        <f>'[2]Fin Stats - Input'!O37</f>
        <v>1985922.0685999999</v>
      </c>
      <c r="P17" s="158">
        <f>'[2]Fin Stats - Input'!P37</f>
        <v>3483987.2014580006</v>
      </c>
      <c r="Q17" s="158">
        <f>'[5]Fin Stats - Input'!Q37</f>
        <v>3369917.8687017402</v>
      </c>
      <c r="R17" s="158">
        <f>'[5]Fin Stats - Input'!R37</f>
        <v>3440686.1439444763</v>
      </c>
      <c r="S17" s="158">
        <f>'[5]Fin Stats - Input'!S37</f>
        <v>3512940.55296731</v>
      </c>
      <c r="T17" s="158">
        <f>'[5]Fin Stats - Input'!T37</f>
        <v>3600764.0667914925</v>
      </c>
      <c r="U17" s="158">
        <f>'[5]Fin Stats - Input'!U37</f>
        <v>3690783.1684612795</v>
      </c>
      <c r="V17" s="158">
        <f>'[5]Fin Stats - Input'!V37</f>
        <v>3783052.7476728112</v>
      </c>
      <c r="W17" s="158">
        <f>'[5]Fin Stats - Input'!W37</f>
        <v>3877629.0663646311</v>
      </c>
      <c r="X17" s="158">
        <f>'[5]Fin Stats - Input'!X37</f>
        <v>3974569.7930237465</v>
      </c>
      <c r="Y17" s="158">
        <f>NPV(Term_WACC, '[6]Fin Stats - Input'!Y37:AH37)</f>
        <v>23620042.269997023</v>
      </c>
    </row>
    <row r="18" spans="6:25">
      <c r="G18" s="103" t="s">
        <v>118</v>
      </c>
      <c r="H18" s="102"/>
      <c r="K18" s="158"/>
      <c r="L18" s="158"/>
      <c r="M18" s="158"/>
      <c r="N18" s="158">
        <f>'[2]Fin Stats - Input'!N38</f>
        <v>2066825</v>
      </c>
      <c r="O18" s="158">
        <f>'[2]Fin Stats - Input'!O38</f>
        <v>2310023.96</v>
      </c>
      <c r="P18" s="158">
        <f>'[2]Fin Stats - Input'!P38</f>
        <v>2603655.96</v>
      </c>
      <c r="Q18" s="158">
        <f>'[5]Fin Stats - Input'!Q38</f>
        <v>2682147.6387999998</v>
      </c>
      <c r="R18" s="158">
        <f>'[5]Fin Stats - Input'!R38</f>
        <v>2738472.7392147994</v>
      </c>
      <c r="S18" s="158">
        <f>'[5]Fin Stats - Input'!S38</f>
        <v>2795980.6667383099</v>
      </c>
      <c r="T18" s="158">
        <f>'[5]Fin Stats - Input'!T38</f>
        <v>2865880.1834067674</v>
      </c>
      <c r="U18" s="158">
        <f>'[5]Fin Stats - Input'!U38</f>
        <v>2937527.1879919362</v>
      </c>
      <c r="V18" s="158">
        <f>'[5]Fin Stats - Input'!V38</f>
        <v>3010965.3676917343</v>
      </c>
      <c r="W18" s="158">
        <f>'[5]Fin Stats - Input'!W38</f>
        <v>3086239.5018840274</v>
      </c>
      <c r="X18" s="158">
        <f>'[5]Fin Stats - Input'!X38</f>
        <v>3163395.4894311279</v>
      </c>
      <c r="Y18" s="158">
        <f>NPV(Term_WACC, '[6]Fin Stats - Input'!Y38:AH38)</f>
        <v>18799401.965020351</v>
      </c>
    </row>
    <row r="19" spans="6:25">
      <c r="G19" s="103" t="s">
        <v>117</v>
      </c>
      <c r="H19" s="102"/>
      <c r="K19" s="158"/>
      <c r="L19" s="158"/>
      <c r="M19" s="158"/>
      <c r="N19" s="158">
        <f>'[2]Fin Stats - Input'!N39</f>
        <v>2945147.7925</v>
      </c>
      <c r="O19" s="158">
        <f>'[2]Fin Stats - Input'!O39</f>
        <v>3718328.04</v>
      </c>
      <c r="P19" s="158">
        <f>'[2]Fin Stats - Input'!P39</f>
        <v>4015311.9200000004</v>
      </c>
      <c r="Q19" s="158">
        <f>'[5]Fin Stats - Input'!Q39</f>
        <v>4135771.2776000006</v>
      </c>
      <c r="R19" s="158">
        <f>'[5]Fin Stats - Input'!R39</f>
        <v>4222622.4744295999</v>
      </c>
      <c r="S19" s="158">
        <f>'[5]Fin Stats - Input'!S39</f>
        <v>4311297.5463926215</v>
      </c>
      <c r="T19" s="158">
        <f>'[5]Fin Stats - Input'!T39</f>
        <v>4419079.9850524366</v>
      </c>
      <c r="U19" s="158">
        <f>'[5]Fin Stats - Input'!U39</f>
        <v>4529556.9846787471</v>
      </c>
      <c r="V19" s="158">
        <f>'[5]Fin Stats - Input'!V39</f>
        <v>4642795.9092957154</v>
      </c>
      <c r="W19" s="158">
        <f>'[5]Fin Stats - Input'!W39</f>
        <v>4758865.8070281083</v>
      </c>
      <c r="X19" s="158">
        <f>'[5]Fin Stats - Input'!X39</f>
        <v>4877837.4522038102</v>
      </c>
      <c r="Y19" s="158">
        <f>NPV(Term_WACC, '[6]Fin Stats - Input'!Y39:AH39)</f>
        <v>28987974.248044662</v>
      </c>
    </row>
    <row r="20" spans="6:25">
      <c r="G20" s="103" t="s">
        <v>116</v>
      </c>
      <c r="H20" s="102"/>
      <c r="K20" s="158"/>
      <c r="L20" s="158"/>
      <c r="M20" s="158"/>
      <c r="N20" s="158">
        <f>'[2]Fin Stats - Input'!N40</f>
        <v>1225500</v>
      </c>
      <c r="O20" s="158">
        <f>'[2]Fin Stats - Input'!O40</f>
        <v>1350000</v>
      </c>
      <c r="P20" s="158">
        <f>'[2]Fin Stats - Input'!P40</f>
        <v>1417500</v>
      </c>
      <c r="Q20" s="158">
        <f>'[5]Fin Stats - Input'!Q40</f>
        <v>1188375</v>
      </c>
      <c r="R20" s="158">
        <f>'[5]Fin Stats - Input'!R40</f>
        <v>1213330.875</v>
      </c>
      <c r="S20" s="158">
        <f>'[5]Fin Stats - Input'!S40</f>
        <v>1238810.8233749999</v>
      </c>
      <c r="T20" s="158">
        <f>'[5]Fin Stats - Input'!T40</f>
        <v>1269781.0939593748</v>
      </c>
      <c r="U20" s="158">
        <f>'[5]Fin Stats - Input'!U40</f>
        <v>1301525.6213083591</v>
      </c>
      <c r="V20" s="158">
        <f>'[5]Fin Stats - Input'!V40</f>
        <v>1334063.761841068</v>
      </c>
      <c r="W20" s="158">
        <f>'[5]Fin Stats - Input'!W40</f>
        <v>1367415.3558870945</v>
      </c>
      <c r="X20" s="158">
        <f>'[5]Fin Stats - Input'!X40</f>
        <v>1401600.7397842717</v>
      </c>
      <c r="Y20" s="158">
        <f>NPV(Term_WACC, '[6]Fin Stats - Input'!Y40:AH40)</f>
        <v>8329421.9106359025</v>
      </c>
    </row>
    <row r="21" spans="6:25">
      <c r="G21" s="103" t="s">
        <v>115</v>
      </c>
      <c r="H21" s="102"/>
      <c r="K21" s="158"/>
      <c r="L21" s="158"/>
      <c r="M21" s="158"/>
      <c r="N21" s="158">
        <f>'[2]Fin Stats - Input'!N41</f>
        <v>4187424.92</v>
      </c>
      <c r="O21" s="158">
        <f>'[2]Fin Stats - Input'!O41</f>
        <v>3719208.12</v>
      </c>
      <c r="P21" s="158">
        <f>'[2]Fin Stats - Input'!P41</f>
        <v>3233987.32</v>
      </c>
      <c r="Q21" s="158">
        <f>'[5]Fin Stats - Input'!Q41</f>
        <v>3263505.7396</v>
      </c>
      <c r="R21" s="158">
        <f>'[5]Fin Stats - Input'!R41</f>
        <v>3332039.3601315995</v>
      </c>
      <c r="S21" s="158">
        <f>'[5]Fin Stats - Input'!S41</f>
        <v>3402012.1866943627</v>
      </c>
      <c r="T21" s="158">
        <f>'[5]Fin Stats - Input'!T41</f>
        <v>3487062.4913617214</v>
      </c>
      <c r="U21" s="158">
        <f>'[5]Fin Stats - Input'!U41</f>
        <v>3574239.053645764</v>
      </c>
      <c r="V21" s="158">
        <f>'[5]Fin Stats - Input'!V41</f>
        <v>3663595.0299869077</v>
      </c>
      <c r="W21" s="158">
        <f>'[5]Fin Stats - Input'!W41</f>
        <v>3755184.90573658</v>
      </c>
      <c r="X21" s="158">
        <f>'[5]Fin Stats - Input'!X41</f>
        <v>3849064.528379994</v>
      </c>
      <c r="Y21" s="158">
        <f>NPV(Term_WACC, '[6]Fin Stats - Input'!Y41:AH41)</f>
        <v>22874190.565192174</v>
      </c>
    </row>
    <row r="22" spans="6:25">
      <c r="G22" s="103" t="s">
        <v>128</v>
      </c>
      <c r="H22" s="102"/>
      <c r="K22" s="158"/>
      <c r="L22" s="158"/>
      <c r="M22" s="158"/>
      <c r="N22" s="158">
        <f>'[2]Fin Stats - Input'!N42</f>
        <v>577037</v>
      </c>
      <c r="O22" s="158">
        <f>'[2]Fin Stats - Input'!O42</f>
        <v>561347</v>
      </c>
      <c r="P22" s="158">
        <f>'[2]Fin Stats - Input'!P42</f>
        <v>593862</v>
      </c>
      <c r="Q22" s="158">
        <f>'[5]Fin Stats - Input'!Q42</f>
        <v>639870.18283982598</v>
      </c>
      <c r="R22" s="158">
        <f>'[5]Fin Stats - Input'!R42</f>
        <v>726457.07824143535</v>
      </c>
      <c r="S22" s="158">
        <f>'[5]Fin Stats - Input'!S42</f>
        <v>748250.79103908339</v>
      </c>
      <c r="T22" s="158">
        <f>'[5]Fin Stats - Input'!T42</f>
        <v>770698.31463288818</v>
      </c>
      <c r="U22" s="158">
        <f>'[5]Fin Stats - Input'!U42</f>
        <v>793819.263520426</v>
      </c>
      <c r="V22" s="158">
        <f>'[5]Fin Stats - Input'!V42</f>
        <v>817633.84144855605</v>
      </c>
      <c r="W22" s="158">
        <f>'[5]Fin Stats - Input'!W42</f>
        <v>842162.85704352986</v>
      </c>
      <c r="X22" s="158">
        <f>'[5]Fin Stats - Input'!X42</f>
        <v>894500.88489145227</v>
      </c>
      <c r="Y22" s="158">
        <f>NPV(Term_WACC, '[6]Fin Stats - Input'!Y42:AH42)</f>
        <v>5438513.4313918054</v>
      </c>
    </row>
    <row r="23" spans="6:25">
      <c r="G23" s="169" t="s">
        <v>114</v>
      </c>
      <c r="H23" s="168"/>
      <c r="I23" s="168"/>
      <c r="J23" s="167"/>
      <c r="K23" s="166">
        <f t="shared" ref="K23:S23" si="2">SUM(K13:K22)</f>
        <v>0</v>
      </c>
      <c r="L23" s="166">
        <f t="shared" si="2"/>
        <v>0</v>
      </c>
      <c r="M23" s="166">
        <f t="shared" si="2"/>
        <v>0</v>
      </c>
      <c r="N23" s="166">
        <f t="shared" si="2"/>
        <v>44307196.714106478</v>
      </c>
      <c r="O23" s="166">
        <f t="shared" si="2"/>
        <v>44016120.582457215</v>
      </c>
      <c r="P23" s="166">
        <f t="shared" si="2"/>
        <v>47773980.590492979</v>
      </c>
      <c r="Q23" s="166">
        <f t="shared" si="2"/>
        <v>48609986.698698469</v>
      </c>
      <c r="R23" s="166">
        <f t="shared" si="2"/>
        <v>49711909.093939543</v>
      </c>
      <c r="S23" s="166">
        <f t="shared" si="2"/>
        <v>50770568.531208567</v>
      </c>
      <c r="T23" s="166">
        <f t="shared" ref="T23:Y23" si="3">SUM(T13:T22)</f>
        <v>52045719.58464472</v>
      </c>
      <c r="U23" s="166">
        <f t="shared" si="3"/>
        <v>53352916.608210988</v>
      </c>
      <c r="V23" s="166">
        <f t="shared" si="3"/>
        <v>54692986.08986821</v>
      </c>
      <c r="W23" s="166">
        <f t="shared" si="3"/>
        <v>56060613.013959683</v>
      </c>
      <c r="X23" s="166">
        <f t="shared" si="3"/>
        <v>57484427.341853335</v>
      </c>
      <c r="Y23" s="358">
        <f t="shared" si="3"/>
        <v>341817046.43450618</v>
      </c>
    </row>
    <row r="24" spans="6:25">
      <c r="G24" s="103"/>
      <c r="I24" s="106"/>
    </row>
    <row r="25" spans="6:25" ht="13.5" thickBot="1">
      <c r="F25" s="191"/>
      <c r="G25" s="148" t="s">
        <v>70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359"/>
    </row>
    <row r="26" spans="6:25" ht="15.75">
      <c r="G26" s="89" t="s">
        <v>73</v>
      </c>
      <c r="I26" s="94"/>
      <c r="K26" s="146" t="s">
        <v>68</v>
      </c>
      <c r="L26" s="145"/>
      <c r="M26" s="144"/>
      <c r="N26" s="143" t="s">
        <v>67</v>
      </c>
    </row>
    <row r="27" spans="6:25">
      <c r="G27" s="103"/>
    </row>
    <row r="28" spans="6:25">
      <c r="G28" s="139" t="s">
        <v>10</v>
      </c>
      <c r="H28" s="141"/>
      <c r="I28" s="142"/>
      <c r="J28" s="140"/>
      <c r="K28" s="136"/>
      <c r="L28" s="136"/>
      <c r="M28" s="136"/>
      <c r="N28" s="136">
        <f>'[2]FA DRIVER LIBRARY'!N164</f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136">
        <v>0</v>
      </c>
      <c r="U28" s="136">
        <v>0</v>
      </c>
      <c r="V28" s="136">
        <v>0</v>
      </c>
      <c r="W28" s="136">
        <v>0</v>
      </c>
      <c r="X28" s="136">
        <v>0</v>
      </c>
      <c r="Y28" s="136">
        <v>0</v>
      </c>
    </row>
    <row r="29" spans="6:25">
      <c r="G29" s="139" t="s">
        <v>9</v>
      </c>
      <c r="H29" s="138"/>
      <c r="I29" s="142"/>
      <c r="J29" s="137"/>
      <c r="K29" s="136"/>
      <c r="L29" s="136"/>
      <c r="M29" s="136"/>
      <c r="N29" s="136">
        <f>'[2]FA DRIVER LIBRARY'!N165</f>
        <v>0.34466655110425948</v>
      </c>
      <c r="O29" s="136">
        <f>'[2]FA DRIVER LIBRARY'!O165</f>
        <v>0.34466655110425948</v>
      </c>
      <c r="P29" s="136">
        <f>'[2]FA DRIVER LIBRARY'!P165</f>
        <v>0.34466655110425948</v>
      </c>
      <c r="Q29" s="136">
        <f>'[2]FA DRIVER LIBRARY'!Q165</f>
        <v>0.34466655110425948</v>
      </c>
      <c r="R29" s="136">
        <f>'[2]FA DRIVER LIBRARY'!R165</f>
        <v>0.34466655110425948</v>
      </c>
      <c r="S29" s="136">
        <f>'[2]FA DRIVER LIBRARY'!S165</f>
        <v>0.34466655110425948</v>
      </c>
      <c r="T29" s="136">
        <f>'[2]FA DRIVER LIBRARY'!T165</f>
        <v>0.34466655110425948</v>
      </c>
      <c r="U29" s="136">
        <f>'[2]FA DRIVER LIBRARY'!U165</f>
        <v>0.34466655110425948</v>
      </c>
      <c r="V29" s="136">
        <f>'[2]FA DRIVER LIBRARY'!V165</f>
        <v>0.34466655110425948</v>
      </c>
      <c r="W29" s="136">
        <f>'[2]FA DRIVER LIBRARY'!W165</f>
        <v>0.34466655110425948</v>
      </c>
      <c r="X29" s="136">
        <f>'[2]FA DRIVER LIBRARY'!X165</f>
        <v>0.34466655110425948</v>
      </c>
      <c r="Y29" s="136">
        <f>'[2]FA DRIVER LIBRARY'!Y165</f>
        <v>0.34466655110425948</v>
      </c>
    </row>
    <row r="30" spans="6:25">
      <c r="G30" s="139" t="s">
        <v>8</v>
      </c>
      <c r="H30" s="141"/>
      <c r="I30" s="142"/>
      <c r="J30" s="140"/>
      <c r="K30" s="136"/>
      <c r="L30" s="136"/>
      <c r="M30" s="136"/>
      <c r="N30" s="136">
        <f>'[2]FA DRIVER LIBRARY'!N166</f>
        <v>0.21188045925959786</v>
      </c>
      <c r="O30" s="136">
        <f>'[2]FA DRIVER LIBRARY'!O166</f>
        <v>0.21188045925959786</v>
      </c>
      <c r="P30" s="136">
        <f>'[2]FA DRIVER LIBRARY'!P166</f>
        <v>0.21188045925959786</v>
      </c>
      <c r="Q30" s="136">
        <f>'[2]FA DRIVER LIBRARY'!Q166</f>
        <v>0.21188045925959786</v>
      </c>
      <c r="R30" s="136">
        <f>'[2]FA DRIVER LIBRARY'!R166</f>
        <v>0.21188045925959786</v>
      </c>
      <c r="S30" s="136">
        <f>'[2]FA DRIVER LIBRARY'!S166</f>
        <v>0.21188045925959786</v>
      </c>
      <c r="T30" s="136">
        <f>'[2]FA DRIVER LIBRARY'!T166</f>
        <v>0.21188045925959786</v>
      </c>
      <c r="U30" s="136">
        <f>'[2]FA DRIVER LIBRARY'!U166</f>
        <v>0.21188045925959786</v>
      </c>
      <c r="V30" s="136">
        <f>'[2]FA DRIVER LIBRARY'!V166</f>
        <v>0.21188045925959786</v>
      </c>
      <c r="W30" s="136">
        <f>'[2]FA DRIVER LIBRARY'!W166</f>
        <v>0.21188045925959786</v>
      </c>
      <c r="X30" s="136">
        <f>'[2]FA DRIVER LIBRARY'!X166</f>
        <v>0.21188045925959786</v>
      </c>
      <c r="Y30" s="136">
        <f>'[2]FA DRIVER LIBRARY'!Y166</f>
        <v>0.21188045925959786</v>
      </c>
    </row>
    <row r="31" spans="6:25">
      <c r="G31" s="139" t="s">
        <v>7</v>
      </c>
      <c r="H31" s="138"/>
      <c r="I31" s="142"/>
      <c r="J31" s="137"/>
      <c r="K31" s="136"/>
      <c r="L31" s="136"/>
      <c r="M31" s="136"/>
      <c r="N31" s="136">
        <f>'[2]FA DRIVER LIBRARY'!N167</f>
        <v>2.505702594448599E-2</v>
      </c>
      <c r="O31" s="136">
        <f>'[2]FA DRIVER LIBRARY'!O167</f>
        <v>2.505702594448599E-2</v>
      </c>
      <c r="P31" s="136">
        <f>'[2]FA DRIVER LIBRARY'!P167</f>
        <v>2.505702594448599E-2</v>
      </c>
      <c r="Q31" s="136">
        <f>'[2]FA DRIVER LIBRARY'!Q167</f>
        <v>2.505702594448599E-2</v>
      </c>
      <c r="R31" s="136">
        <f>'[2]FA DRIVER LIBRARY'!R167</f>
        <v>2.505702594448599E-2</v>
      </c>
      <c r="S31" s="136">
        <f>'[2]FA DRIVER LIBRARY'!S167</f>
        <v>2.505702594448599E-2</v>
      </c>
      <c r="T31" s="136">
        <f>'[2]FA DRIVER LIBRARY'!T167</f>
        <v>2.505702594448599E-2</v>
      </c>
      <c r="U31" s="136">
        <f>'[2]FA DRIVER LIBRARY'!U167</f>
        <v>2.505702594448599E-2</v>
      </c>
      <c r="V31" s="136">
        <f>'[2]FA DRIVER LIBRARY'!V167</f>
        <v>2.505702594448599E-2</v>
      </c>
      <c r="W31" s="136">
        <f>'[2]FA DRIVER LIBRARY'!W167</f>
        <v>2.505702594448599E-2</v>
      </c>
      <c r="X31" s="136">
        <f>'[2]FA DRIVER LIBRARY'!X167</f>
        <v>2.505702594448599E-2</v>
      </c>
      <c r="Y31" s="136">
        <f>'[2]FA DRIVER LIBRARY'!Y167</f>
        <v>2.505702594448599E-2</v>
      </c>
    </row>
    <row r="32" spans="6:25">
      <c r="G32" s="139" t="s">
        <v>66</v>
      </c>
      <c r="H32" s="138"/>
      <c r="I32" s="142"/>
      <c r="J32" s="137"/>
      <c r="K32" s="136"/>
      <c r="L32" s="136"/>
      <c r="M32" s="136"/>
      <c r="N32" s="136">
        <f>'[2]FA DRIVER LIBRARY'!N168</f>
        <v>0.38603749708732144</v>
      </c>
      <c r="O32" s="136">
        <f>'[2]FA DRIVER LIBRARY'!O168</f>
        <v>0.38603749708732144</v>
      </c>
      <c r="P32" s="136">
        <f>'[2]FA DRIVER LIBRARY'!P168</f>
        <v>0.38603749708732144</v>
      </c>
      <c r="Q32" s="136">
        <f>'[2]FA DRIVER LIBRARY'!Q168</f>
        <v>0.38603749708732144</v>
      </c>
      <c r="R32" s="136">
        <f>'[2]FA DRIVER LIBRARY'!R168</f>
        <v>0.38603749708732144</v>
      </c>
      <c r="S32" s="136">
        <f>'[2]FA DRIVER LIBRARY'!S168</f>
        <v>0.38603749708732144</v>
      </c>
      <c r="T32" s="136">
        <f>'[2]FA DRIVER LIBRARY'!T168</f>
        <v>0.38603749708732144</v>
      </c>
      <c r="U32" s="136">
        <f>'[2]FA DRIVER LIBRARY'!U168</f>
        <v>0.38603749708732144</v>
      </c>
      <c r="V32" s="136">
        <f>'[2]FA DRIVER LIBRARY'!V168</f>
        <v>0.38603749708732144</v>
      </c>
      <c r="W32" s="136">
        <f>'[2]FA DRIVER LIBRARY'!W168</f>
        <v>0.38603749708732144</v>
      </c>
      <c r="X32" s="136">
        <f>'[2]FA DRIVER LIBRARY'!X168</f>
        <v>0.38603749708732144</v>
      </c>
      <c r="Y32" s="136">
        <f>'[2]FA DRIVER LIBRARY'!Y168</f>
        <v>0.38603749708732144</v>
      </c>
    </row>
    <row r="33" spans="6:25">
      <c r="G33" s="139" t="s">
        <v>65</v>
      </c>
      <c r="H33" s="138"/>
      <c r="I33" s="142"/>
      <c r="J33" s="137"/>
      <c r="K33" s="136"/>
      <c r="L33" s="136"/>
      <c r="M33" s="136"/>
      <c r="N33" s="136">
        <f>'[2]FA DRIVER LIBRARY'!N169</f>
        <v>2.2650926623034678E-2</v>
      </c>
      <c r="O33" s="136">
        <f>'[2]FA DRIVER LIBRARY'!O169</f>
        <v>2.2650926623034678E-2</v>
      </c>
      <c r="P33" s="136">
        <f>'[2]FA DRIVER LIBRARY'!P169</f>
        <v>2.2650926623034678E-2</v>
      </c>
      <c r="Q33" s="136">
        <f>'[2]FA DRIVER LIBRARY'!Q169</f>
        <v>2.2650926623034678E-2</v>
      </c>
      <c r="R33" s="136">
        <f>'[2]FA DRIVER LIBRARY'!R169</f>
        <v>2.2650926623034678E-2</v>
      </c>
      <c r="S33" s="136">
        <f>'[2]FA DRIVER LIBRARY'!S169</f>
        <v>2.2650926623034678E-2</v>
      </c>
      <c r="T33" s="136">
        <f>'[2]FA DRIVER LIBRARY'!T169</f>
        <v>2.2650926623034678E-2</v>
      </c>
      <c r="U33" s="136">
        <f>'[2]FA DRIVER LIBRARY'!U169</f>
        <v>2.2650926623034678E-2</v>
      </c>
      <c r="V33" s="136">
        <f>'[2]FA DRIVER LIBRARY'!V169</f>
        <v>2.2650926623034678E-2</v>
      </c>
      <c r="W33" s="136">
        <f>'[2]FA DRIVER LIBRARY'!W169</f>
        <v>2.2650926623034678E-2</v>
      </c>
      <c r="X33" s="136">
        <f>'[2]FA DRIVER LIBRARY'!X169</f>
        <v>2.2650926623034678E-2</v>
      </c>
      <c r="Y33" s="136">
        <f>'[2]FA DRIVER LIBRARY'!Y169</f>
        <v>2.2650926623034678E-2</v>
      </c>
    </row>
    <row r="34" spans="6:25">
      <c r="G34" s="139" t="s">
        <v>64</v>
      </c>
      <c r="H34" s="138"/>
      <c r="I34" s="142"/>
      <c r="J34" s="137"/>
      <c r="K34" s="136"/>
      <c r="L34" s="136"/>
      <c r="M34" s="136"/>
      <c r="N34" s="136">
        <f>'[2]FA DRIVER LIBRARY'!N170</f>
        <v>0</v>
      </c>
      <c r="O34" s="136">
        <v>0</v>
      </c>
      <c r="P34" s="136">
        <v>0</v>
      </c>
      <c r="Q34" s="136">
        <v>0</v>
      </c>
      <c r="R34" s="136">
        <v>0</v>
      </c>
      <c r="S34" s="136">
        <v>0</v>
      </c>
      <c r="T34" s="136">
        <v>0</v>
      </c>
      <c r="U34" s="136">
        <v>0</v>
      </c>
      <c r="V34" s="136">
        <v>0</v>
      </c>
      <c r="W34" s="136">
        <v>0</v>
      </c>
      <c r="X34" s="136">
        <v>0</v>
      </c>
      <c r="Y34" s="136">
        <v>0</v>
      </c>
    </row>
    <row r="35" spans="6:25">
      <c r="G35" s="139" t="s">
        <v>63</v>
      </c>
      <c r="H35" s="141"/>
      <c r="I35" s="142"/>
      <c r="J35" s="140"/>
      <c r="K35" s="136"/>
      <c r="L35" s="136"/>
      <c r="M35" s="136"/>
      <c r="N35" s="136">
        <f>'[2]FA DRIVER LIBRARY'!N171</f>
        <v>0</v>
      </c>
      <c r="O35" s="136">
        <v>0</v>
      </c>
      <c r="P35" s="136">
        <v>0</v>
      </c>
      <c r="Q35" s="136">
        <v>0</v>
      </c>
      <c r="R35" s="136">
        <v>0</v>
      </c>
      <c r="S35" s="136">
        <v>0</v>
      </c>
      <c r="T35" s="136">
        <v>0</v>
      </c>
      <c r="U35" s="136">
        <v>0</v>
      </c>
      <c r="V35" s="136">
        <v>0</v>
      </c>
      <c r="W35" s="136">
        <v>0</v>
      </c>
      <c r="X35" s="136">
        <v>0</v>
      </c>
      <c r="Y35" s="136">
        <v>0</v>
      </c>
    </row>
    <row r="36" spans="6:25">
      <c r="G36" s="139" t="s">
        <v>62</v>
      </c>
      <c r="H36" s="141"/>
      <c r="I36" s="142"/>
      <c r="J36" s="140"/>
      <c r="K36" s="136"/>
      <c r="L36" s="136"/>
      <c r="M36" s="136"/>
      <c r="N36" s="136">
        <f>'[2]FA DRIVER LIBRARY'!N172</f>
        <v>7.0110010976059721E-3</v>
      </c>
      <c r="O36" s="136">
        <f>'[2]FA DRIVER LIBRARY'!O172</f>
        <v>7.0110010976059721E-3</v>
      </c>
      <c r="P36" s="136">
        <f>'[2]FA DRIVER LIBRARY'!P172</f>
        <v>7.0110010976059721E-3</v>
      </c>
      <c r="Q36" s="136">
        <f>'[2]FA DRIVER LIBRARY'!Q172</f>
        <v>7.0110010976059721E-3</v>
      </c>
      <c r="R36" s="136">
        <f>'[2]FA DRIVER LIBRARY'!R172</f>
        <v>7.0110010976059721E-3</v>
      </c>
      <c r="S36" s="136">
        <f>'[2]FA DRIVER LIBRARY'!S172</f>
        <v>7.0110010976059721E-3</v>
      </c>
      <c r="T36" s="136">
        <f>'[2]FA DRIVER LIBRARY'!T172</f>
        <v>7.0110010976059721E-3</v>
      </c>
      <c r="U36" s="136">
        <f>'[2]FA DRIVER LIBRARY'!U172</f>
        <v>7.0110010976059721E-3</v>
      </c>
      <c r="V36" s="136">
        <f>'[2]FA DRIVER LIBRARY'!V172</f>
        <v>7.0110010976059721E-3</v>
      </c>
      <c r="W36" s="136">
        <f>'[2]FA DRIVER LIBRARY'!W172</f>
        <v>7.0110010976059721E-3</v>
      </c>
      <c r="X36" s="136">
        <f>'[2]FA DRIVER LIBRARY'!X172</f>
        <v>7.0110010976059721E-3</v>
      </c>
      <c r="Y36" s="136">
        <f>'[2]FA DRIVER LIBRARY'!Y172</f>
        <v>7.0110010976059721E-3</v>
      </c>
    </row>
    <row r="37" spans="6:25">
      <c r="G37" s="139" t="s">
        <v>61</v>
      </c>
      <c r="H37" s="138"/>
      <c r="I37" s="142"/>
      <c r="J37" s="137"/>
      <c r="K37" s="136"/>
      <c r="L37" s="136"/>
      <c r="M37" s="136"/>
      <c r="N37" s="136">
        <f>'[2]FA DRIVER LIBRARY'!N173</f>
        <v>2.6965388836946041E-3</v>
      </c>
      <c r="O37" s="136">
        <f>'[2]FA DRIVER LIBRARY'!O173</f>
        <v>2.6965388836946041E-3</v>
      </c>
      <c r="P37" s="136">
        <f>'[2]FA DRIVER LIBRARY'!P173</f>
        <v>2.6965388836946041E-3</v>
      </c>
      <c r="Q37" s="136">
        <f>'[2]FA DRIVER LIBRARY'!Q173</f>
        <v>2.6965388836946041E-3</v>
      </c>
      <c r="R37" s="136">
        <f>'[2]FA DRIVER LIBRARY'!R173</f>
        <v>2.6965388836946041E-3</v>
      </c>
      <c r="S37" s="136">
        <f>'[2]FA DRIVER LIBRARY'!S173</f>
        <v>2.6965388836946041E-3</v>
      </c>
      <c r="T37" s="136">
        <f>'[2]FA DRIVER LIBRARY'!T173</f>
        <v>2.6965388836946041E-3</v>
      </c>
      <c r="U37" s="136">
        <f>'[2]FA DRIVER LIBRARY'!U173</f>
        <v>2.6965388836946041E-3</v>
      </c>
      <c r="V37" s="136">
        <f>'[2]FA DRIVER LIBRARY'!V173</f>
        <v>2.6965388836946041E-3</v>
      </c>
      <c r="W37" s="136">
        <f>'[2]FA DRIVER LIBRARY'!W173</f>
        <v>2.6965388836946041E-3</v>
      </c>
      <c r="X37" s="136">
        <f>'[2]FA DRIVER LIBRARY'!X173</f>
        <v>2.6965388836946041E-3</v>
      </c>
      <c r="Y37" s="136">
        <f>'[2]FA DRIVER LIBRARY'!Y173</f>
        <v>2.6965388836946041E-3</v>
      </c>
    </row>
    <row r="38" spans="6:25">
      <c r="G38" s="103"/>
    </row>
    <row r="39" spans="6:25">
      <c r="G39" s="103" t="s">
        <v>23</v>
      </c>
      <c r="K39" s="135"/>
      <c r="L39" s="135"/>
      <c r="M39" s="135"/>
      <c r="N39" s="135">
        <f t="shared" ref="N39:S39" si="4">SUM(N28:N38)</f>
        <v>1</v>
      </c>
      <c r="O39" s="135">
        <f t="shared" si="4"/>
        <v>1</v>
      </c>
      <c r="P39" s="135">
        <f t="shared" si="4"/>
        <v>1</v>
      </c>
      <c r="Q39" s="135">
        <f t="shared" si="4"/>
        <v>1</v>
      </c>
      <c r="R39" s="135">
        <f t="shared" si="4"/>
        <v>1</v>
      </c>
      <c r="S39" s="135">
        <f t="shared" si="4"/>
        <v>1</v>
      </c>
      <c r="T39" s="135">
        <f t="shared" ref="T39:Y39" si="5">SUM(T28:T38)</f>
        <v>1</v>
      </c>
      <c r="U39" s="135">
        <f t="shared" si="5"/>
        <v>1</v>
      </c>
      <c r="V39" s="135">
        <f t="shared" si="5"/>
        <v>1</v>
      </c>
      <c r="W39" s="135">
        <f t="shared" si="5"/>
        <v>1</v>
      </c>
      <c r="X39" s="135">
        <f t="shared" si="5"/>
        <v>1</v>
      </c>
      <c r="Y39" s="360">
        <f t="shared" si="5"/>
        <v>1</v>
      </c>
    </row>
    <row r="40" spans="6:25">
      <c r="G40" s="134" t="s">
        <v>24</v>
      </c>
      <c r="K40" s="183"/>
      <c r="L40" s="183"/>
      <c r="M40" s="183"/>
      <c r="N40" s="183">
        <f t="shared" ref="N40:S40" si="6">N39-1</f>
        <v>0</v>
      </c>
      <c r="O40" s="183">
        <f t="shared" si="6"/>
        <v>0</v>
      </c>
      <c r="P40" s="183">
        <f t="shared" si="6"/>
        <v>0</v>
      </c>
      <c r="Q40" s="183">
        <f t="shared" si="6"/>
        <v>0</v>
      </c>
      <c r="R40" s="183">
        <f t="shared" si="6"/>
        <v>0</v>
      </c>
      <c r="S40" s="183">
        <f t="shared" si="6"/>
        <v>0</v>
      </c>
      <c r="T40" s="183">
        <f t="shared" ref="T40:Y40" si="7">T39-1</f>
        <v>0</v>
      </c>
      <c r="U40" s="183">
        <f t="shared" si="7"/>
        <v>0</v>
      </c>
      <c r="V40" s="183">
        <f t="shared" si="7"/>
        <v>0</v>
      </c>
      <c r="W40" s="183">
        <f t="shared" si="7"/>
        <v>0</v>
      </c>
      <c r="X40" s="183">
        <f t="shared" si="7"/>
        <v>0</v>
      </c>
      <c r="Y40" s="361">
        <f t="shared" si="7"/>
        <v>0</v>
      </c>
    </row>
    <row r="41" spans="6:25" ht="13.5" thickBot="1"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362"/>
    </row>
    <row r="43" spans="6:25">
      <c r="G43" s="103"/>
    </row>
    <row r="44" spans="6:25" ht="15.75">
      <c r="G44" s="89" t="s">
        <v>74</v>
      </c>
      <c r="K44" s="146" t="s">
        <v>68</v>
      </c>
      <c r="L44" s="145"/>
      <c r="M44" s="144"/>
      <c r="N44" s="143" t="s">
        <v>67</v>
      </c>
    </row>
    <row r="45" spans="6:25" ht="9" customHeight="1">
      <c r="G45" s="103"/>
    </row>
    <row r="46" spans="6:25">
      <c r="G46" s="147" t="s">
        <v>10</v>
      </c>
      <c r="H46" s="141"/>
      <c r="I46" s="141"/>
      <c r="J46" s="140"/>
      <c r="K46" s="180"/>
      <c r="L46" s="180"/>
      <c r="M46" s="180"/>
      <c r="N46" s="181">
        <f>'[2]Opex Engine - Inputs'!N43</f>
        <v>0.34120868613462629</v>
      </c>
      <c r="O46" s="181">
        <f>'[2]Opex Engine - Inputs'!O43</f>
        <v>0.34120868613462629</v>
      </c>
      <c r="P46" s="181">
        <f>'[2]Opex Engine - Inputs'!P43</f>
        <v>0.34120868613462629</v>
      </c>
      <c r="Q46" s="181">
        <f>'[2]Opex Engine - Inputs'!Q43</f>
        <v>0.34120868613462629</v>
      </c>
      <c r="R46" s="181">
        <f>'[2]Opex Engine - Inputs'!R43</f>
        <v>0.34120868613462629</v>
      </c>
      <c r="S46" s="181">
        <f>'[2]Opex Engine - Inputs'!S43</f>
        <v>0.34120868613462629</v>
      </c>
      <c r="T46" s="181">
        <f>'[2]Opex Engine - Inputs'!T43</f>
        <v>0.34120868613462629</v>
      </c>
      <c r="U46" s="181">
        <f>'[2]Opex Engine - Inputs'!U43</f>
        <v>0.34120868613462629</v>
      </c>
      <c r="V46" s="181">
        <f>'[2]Opex Engine - Inputs'!V43</f>
        <v>0.34120868613462629</v>
      </c>
      <c r="W46" s="181">
        <f>'[2]Opex Engine - Inputs'!W43</f>
        <v>0.34120868613462629</v>
      </c>
      <c r="X46" s="181">
        <f>'[2]Opex Engine - Inputs'!X43</f>
        <v>0.34120868613462629</v>
      </c>
      <c r="Y46" s="181">
        <f>'[2]Opex Engine - Inputs'!Y43</f>
        <v>0.34120868613462629</v>
      </c>
    </row>
    <row r="47" spans="6:25">
      <c r="G47" s="147" t="s">
        <v>9</v>
      </c>
      <c r="H47" s="138"/>
      <c r="I47" s="142"/>
      <c r="J47" s="137"/>
      <c r="K47" s="182"/>
      <c r="L47" s="182"/>
      <c r="M47" s="182"/>
      <c r="N47" s="181">
        <f>'[2]Opex Engine - Inputs'!N44</f>
        <v>9.8503367175677453E-2</v>
      </c>
      <c r="O47" s="181">
        <f>'[2]Opex Engine - Inputs'!O44</f>
        <v>9.8503367175677453E-2</v>
      </c>
      <c r="P47" s="181">
        <f>'[2]Opex Engine - Inputs'!P44</f>
        <v>9.8503367175677453E-2</v>
      </c>
      <c r="Q47" s="181">
        <f>'[2]Opex Engine - Inputs'!Q44</f>
        <v>9.8503367175677453E-2</v>
      </c>
      <c r="R47" s="181">
        <f>'[2]Opex Engine - Inputs'!R44</f>
        <v>9.8503367175677439E-2</v>
      </c>
      <c r="S47" s="181">
        <f>'[2]Opex Engine - Inputs'!S44</f>
        <v>9.8503367175677439E-2</v>
      </c>
      <c r="T47" s="181">
        <f>'[2]Opex Engine - Inputs'!T44</f>
        <v>9.8503367175677467E-2</v>
      </c>
      <c r="U47" s="181">
        <f>'[2]Opex Engine - Inputs'!U44</f>
        <v>9.8503367175677467E-2</v>
      </c>
      <c r="V47" s="181">
        <f>'[2]Opex Engine - Inputs'!V44</f>
        <v>9.8503367175677439E-2</v>
      </c>
      <c r="W47" s="181">
        <f>'[2]Opex Engine - Inputs'!W44</f>
        <v>9.8503367175677439E-2</v>
      </c>
      <c r="X47" s="181">
        <f>'[2]Opex Engine - Inputs'!X44</f>
        <v>9.8503367175677439E-2</v>
      </c>
      <c r="Y47" s="181">
        <f>'[2]Opex Engine - Inputs'!Y44</f>
        <v>9.8503367175677439E-2</v>
      </c>
    </row>
    <row r="48" spans="6:25">
      <c r="G48" s="147" t="s">
        <v>8</v>
      </c>
      <c r="H48" s="141"/>
      <c r="I48" s="142"/>
      <c r="J48" s="140"/>
      <c r="K48" s="180"/>
      <c r="L48" s="180"/>
      <c r="M48" s="180"/>
      <c r="N48" s="181">
        <f>'[2]Opex Engine - Inputs'!N45</f>
        <v>0.11124727492035916</v>
      </c>
      <c r="O48" s="181">
        <f>'[2]Opex Engine - Inputs'!O45</f>
        <v>0.11124727492035916</v>
      </c>
      <c r="P48" s="181">
        <f>'[2]Opex Engine - Inputs'!P45</f>
        <v>0.11124727492035916</v>
      </c>
      <c r="Q48" s="181">
        <f>'[2]Opex Engine - Inputs'!Q45</f>
        <v>0.11124727492035917</v>
      </c>
      <c r="R48" s="181">
        <f>'[2]Opex Engine - Inputs'!R45</f>
        <v>0.11124727492035916</v>
      </c>
      <c r="S48" s="181">
        <f>'[2]Opex Engine - Inputs'!S45</f>
        <v>0.11124727492035916</v>
      </c>
      <c r="T48" s="181">
        <f>'[2]Opex Engine - Inputs'!T45</f>
        <v>0.11124727492035916</v>
      </c>
      <c r="U48" s="181">
        <f>'[2]Opex Engine - Inputs'!U45</f>
        <v>0.11124727492035916</v>
      </c>
      <c r="V48" s="181">
        <f>'[2]Opex Engine - Inputs'!V45</f>
        <v>0.11124727492035916</v>
      </c>
      <c r="W48" s="181">
        <f>'[2]Opex Engine - Inputs'!W45</f>
        <v>0.11124727492035916</v>
      </c>
      <c r="X48" s="181">
        <f>'[2]Opex Engine - Inputs'!X45</f>
        <v>0.11124727492035916</v>
      </c>
      <c r="Y48" s="181">
        <f>'[2]Opex Engine - Inputs'!Y45</f>
        <v>0.11124727492035914</v>
      </c>
    </row>
    <row r="49" spans="7:25">
      <c r="G49" s="147" t="s">
        <v>7</v>
      </c>
      <c r="H49" s="138"/>
      <c r="I49" s="142"/>
      <c r="J49" s="137"/>
      <c r="K49" s="182"/>
      <c r="L49" s="182"/>
      <c r="M49" s="182"/>
      <c r="N49" s="181">
        <f>'[2]Opex Engine - Inputs'!N46</f>
        <v>5.3485259744206051E-2</v>
      </c>
      <c r="O49" s="181">
        <f>'[2]Opex Engine - Inputs'!O46</f>
        <v>5.3485259744206037E-2</v>
      </c>
      <c r="P49" s="181">
        <f>'[2]Opex Engine - Inputs'!P46</f>
        <v>5.3485259744206037E-2</v>
      </c>
      <c r="Q49" s="181">
        <f>'[2]Opex Engine - Inputs'!Q46</f>
        <v>5.3485259744206044E-2</v>
      </c>
      <c r="R49" s="181">
        <f>'[2]Opex Engine - Inputs'!R46</f>
        <v>5.348525974420603E-2</v>
      </c>
      <c r="S49" s="181">
        <f>'[2]Opex Engine - Inputs'!S46</f>
        <v>5.3485259744206044E-2</v>
      </c>
      <c r="T49" s="181">
        <f>'[2]Opex Engine - Inputs'!T46</f>
        <v>5.3485259744206044E-2</v>
      </c>
      <c r="U49" s="181">
        <f>'[2]Opex Engine - Inputs'!U46</f>
        <v>5.3485259744206044E-2</v>
      </c>
      <c r="V49" s="181">
        <f>'[2]Opex Engine - Inputs'!V46</f>
        <v>5.3485259744206044E-2</v>
      </c>
      <c r="W49" s="181">
        <f>'[2]Opex Engine - Inputs'!W46</f>
        <v>5.3485259744206051E-2</v>
      </c>
      <c r="X49" s="181">
        <f>'[2]Opex Engine - Inputs'!X46</f>
        <v>5.3485259744206044E-2</v>
      </c>
      <c r="Y49" s="181">
        <f>'[2]Opex Engine - Inputs'!Y46</f>
        <v>5.3485259744206044E-2</v>
      </c>
    </row>
    <row r="50" spans="7:25">
      <c r="G50" s="103"/>
    </row>
    <row r="51" spans="7:25">
      <c r="G51" s="103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360"/>
    </row>
    <row r="52" spans="7:25" ht="15.75">
      <c r="G52" s="89" t="s">
        <v>122</v>
      </c>
      <c r="K52" s="146" t="s">
        <v>68</v>
      </c>
      <c r="L52" s="145"/>
      <c r="M52" s="144"/>
      <c r="N52" s="143" t="s">
        <v>67</v>
      </c>
    </row>
    <row r="53" spans="7:25">
      <c r="G53"/>
    </row>
    <row r="54" spans="7:25">
      <c r="G54" s="139" t="str">
        <f>G46</f>
        <v>Airfield</v>
      </c>
      <c r="H54" s="141"/>
      <c r="I54" s="141"/>
      <c r="J54" s="140"/>
      <c r="K54" s="180"/>
      <c r="L54" s="180"/>
      <c r="M54" s="180"/>
      <c r="N54" s="181">
        <f>'[2]Opex Engine - Inputs'!N59</f>
        <v>0.17820371302881113</v>
      </c>
      <c r="O54" s="181">
        <f>'[2]Opex Engine - Inputs'!O59</f>
        <v>0.19300505674870566</v>
      </c>
      <c r="P54" s="181">
        <f>'[2]Opex Engine - Inputs'!P59</f>
        <v>0.20458553079665209</v>
      </c>
      <c r="Q54" s="181">
        <f>'[2]Opex Engine - Inputs'!Q59</f>
        <v>0.18222559710350789</v>
      </c>
      <c r="R54" s="181">
        <f>'[2]Opex Engine - Inputs'!R59</f>
        <v>0.18872756872181332</v>
      </c>
      <c r="S54" s="181">
        <f>'[2]Opex Engine - Inputs'!S59</f>
        <v>0.19333335990403497</v>
      </c>
      <c r="T54" s="181">
        <f>'[2]Opex Engine - Inputs'!T59</f>
        <v>0.21377088110723749</v>
      </c>
      <c r="U54" s="181">
        <f>'[2]Opex Engine - Inputs'!U59</f>
        <v>0.21738773023955307</v>
      </c>
      <c r="V54" s="181">
        <f>'[2]Opex Engine - Inputs'!V59</f>
        <v>0.22197479436851647</v>
      </c>
      <c r="W54" s="181">
        <f>'[2]Opex Engine - Inputs'!W59</f>
        <v>0.22488574964637736</v>
      </c>
      <c r="X54" s="181">
        <f>'[2]Opex Engine - Inputs'!X59</f>
        <v>0.22840475131741267</v>
      </c>
      <c r="Y54" s="181">
        <f>'[2]Opex Engine - Inputs'!Y59</f>
        <v>0.23251819222652581</v>
      </c>
    </row>
    <row r="55" spans="7:25">
      <c r="G55" s="139" t="str">
        <f>G47</f>
        <v>Terminal International</v>
      </c>
      <c r="H55" s="138"/>
      <c r="I55" s="138"/>
      <c r="J55" s="137"/>
      <c r="K55" s="180"/>
      <c r="L55" s="180"/>
      <c r="M55" s="180"/>
      <c r="N55" s="181">
        <f>'[2]Opex Engine - Inputs'!N60</f>
        <v>0.37324942029870262</v>
      </c>
      <c r="O55" s="181">
        <f>'[2]Opex Engine - Inputs'!O60</f>
        <v>0.34024239623699115</v>
      </c>
      <c r="P55" s="181">
        <f>'[2]Opex Engine - Inputs'!P60</f>
        <v>0.32726282933662476</v>
      </c>
      <c r="Q55" s="181">
        <f>'[2]Opex Engine - Inputs'!Q60</f>
        <v>0.34921970419038079</v>
      </c>
      <c r="R55" s="181">
        <f>'[2]Opex Engine - Inputs'!R60</f>
        <v>0.34830324228209136</v>
      </c>
      <c r="S55" s="181">
        <f>'[2]Opex Engine - Inputs'!S60</f>
        <v>0.34807076730151926</v>
      </c>
      <c r="T55" s="181">
        <f>'[2]Opex Engine - Inputs'!T60</f>
        <v>0.39526050157935744</v>
      </c>
      <c r="U55" s="181">
        <f>'[2]Opex Engine - Inputs'!U60</f>
        <v>0.39610161945537697</v>
      </c>
      <c r="V55" s="181">
        <f>'[2]Opex Engine - Inputs'!V60</f>
        <v>0.3973901897874425</v>
      </c>
      <c r="W55" s="181">
        <f>'[2]Opex Engine - Inputs'!W60</f>
        <v>0.39901946008483397</v>
      </c>
      <c r="X55" s="181">
        <f>'[2]Opex Engine - Inputs'!X60</f>
        <v>0.40424746631038233</v>
      </c>
      <c r="Y55" s="181">
        <f>'[2]Opex Engine - Inputs'!Y60</f>
        <v>0.40480752078568949</v>
      </c>
    </row>
    <row r="56" spans="7:25">
      <c r="G56" s="139" t="str">
        <f>G48</f>
        <v>Terminal Domestic - Jet</v>
      </c>
      <c r="H56" s="141"/>
      <c r="I56" s="141"/>
      <c r="J56" s="140"/>
      <c r="K56" s="180"/>
      <c r="L56" s="180"/>
      <c r="M56" s="180"/>
      <c r="N56" s="181">
        <f>'[2]Opex Engine - Inputs'!N61</f>
        <v>5.2990249466163351E-3</v>
      </c>
      <c r="O56" s="181">
        <f>'[2]Opex Engine - Inputs'!O61</f>
        <v>1.4408779730107896E-2</v>
      </c>
      <c r="P56" s="181">
        <f>'[2]Opex Engine - Inputs'!P61</f>
        <v>2.1104144805381083E-2</v>
      </c>
      <c r="Q56" s="181">
        <f>'[2]Opex Engine - Inputs'!Q61</f>
        <v>2.4730531596916207E-2</v>
      </c>
      <c r="R56" s="181">
        <f>'[2]Opex Engine - Inputs'!R61</f>
        <v>2.475104377963299E-2</v>
      </c>
      <c r="S56" s="181">
        <f>'[2]Opex Engine - Inputs'!S61</f>
        <v>2.4667619057964149E-2</v>
      </c>
      <c r="T56" s="181">
        <f>'[2]Opex Engine - Inputs'!T61</f>
        <v>2.6658748328397854E-2</v>
      </c>
      <c r="U56" s="181">
        <f>'[2]Opex Engine - Inputs'!U61</f>
        <v>2.6373042751121234E-2</v>
      </c>
      <c r="V56" s="181">
        <f>'[2]Opex Engine - Inputs'!V61</f>
        <v>2.6207202844781827E-2</v>
      </c>
      <c r="W56" s="181">
        <f>'[2]Opex Engine - Inputs'!W61</f>
        <v>2.6005928920622357E-2</v>
      </c>
      <c r="X56" s="181">
        <f>'[2]Opex Engine - Inputs'!X61</f>
        <v>2.5957870485779407E-2</v>
      </c>
      <c r="Y56" s="181">
        <f>'[2]Opex Engine - Inputs'!Y61</f>
        <v>2.6335912287323442E-2</v>
      </c>
    </row>
    <row r="57" spans="7:25">
      <c r="G57" s="139" t="str">
        <f>G49</f>
        <v>Terminal Domestic - Turbo Prop</v>
      </c>
      <c r="H57" s="138"/>
      <c r="I57" s="138"/>
      <c r="J57" s="137"/>
      <c r="K57" s="182"/>
      <c r="L57" s="182"/>
      <c r="M57" s="182"/>
      <c r="N57" s="181">
        <f>'[2]Opex Engine - Inputs'!N62</f>
        <v>3.2626750658365212E-3</v>
      </c>
      <c r="O57" s="181">
        <f>'[2]Opex Engine - Inputs'!O62</f>
        <v>3.6170923727322883E-3</v>
      </c>
      <c r="P57" s="181">
        <f>'[2]Opex Engine - Inputs'!P62</f>
        <v>3.8490122008507798E-3</v>
      </c>
      <c r="Q57" s="181">
        <f>'[2]Opex Engine - Inputs'!Q62</f>
        <v>3.8711176333652599E-3</v>
      </c>
      <c r="R57" s="181">
        <f>'[2]Opex Engine - Inputs'!R62</f>
        <v>3.882397939294519E-3</v>
      </c>
      <c r="S57" s="181">
        <f>'[2]Opex Engine - Inputs'!S62</f>
        <v>3.915920772973122E-3</v>
      </c>
      <c r="T57" s="181">
        <f>'[2]Opex Engine - Inputs'!T62</f>
        <v>6.2089902491091111E-3</v>
      </c>
      <c r="U57" s="181">
        <f>'[2]Opex Engine - Inputs'!U62</f>
        <v>6.2314106753277839E-3</v>
      </c>
      <c r="V57" s="181">
        <f>'[2]Opex Engine - Inputs'!V62</f>
        <v>6.2309006493444247E-3</v>
      </c>
      <c r="W57" s="181">
        <f>'[2]Opex Engine - Inputs'!W62</f>
        <v>6.2186705025138204E-3</v>
      </c>
      <c r="X57" s="181">
        <f>'[2]Opex Engine - Inputs'!X62</f>
        <v>6.2308123398070571E-3</v>
      </c>
      <c r="Y57" s="181">
        <f>'[2]Opex Engine - Inputs'!Y62</f>
        <v>6.3215558206066056E-3</v>
      </c>
    </row>
    <row r="58" spans="7:25">
      <c r="G58" s="103"/>
    </row>
    <row r="59" spans="7:25" ht="15.75">
      <c r="G59" s="89" t="s">
        <v>121</v>
      </c>
      <c r="K59" s="146" t="s">
        <v>68</v>
      </c>
      <c r="L59" s="145"/>
      <c r="M59" s="144"/>
      <c r="N59" s="143" t="s">
        <v>67</v>
      </c>
    </row>
    <row r="60" spans="7:25" ht="6" customHeight="1">
      <c r="G60" s="103"/>
    </row>
    <row r="61" spans="7:25">
      <c r="G61" s="139" t="str">
        <f>G54</f>
        <v>Airfield</v>
      </c>
      <c r="H61" s="141"/>
      <c r="I61" s="141"/>
      <c r="J61" s="140"/>
      <c r="K61" s="180"/>
      <c r="L61" s="180"/>
      <c r="M61" s="180"/>
      <c r="N61" s="181">
        <f>'[2]Opex Engine - Inputs'!N75</f>
        <v>0.54168041189721361</v>
      </c>
      <c r="O61" s="181">
        <f>'[2]Opex Engine - Inputs'!O75</f>
        <v>0.30462944057218233</v>
      </c>
      <c r="P61" s="181">
        <f>'[2]Opex Engine - Inputs'!P75</f>
        <v>0.31306155393201757</v>
      </c>
      <c r="Q61" s="181">
        <f>'[2]Opex Engine - Inputs'!Q75</f>
        <v>0.31381705618052391</v>
      </c>
      <c r="R61" s="181">
        <f>'[2]Opex Engine - Inputs'!R75</f>
        <v>0.31457921809625494</v>
      </c>
      <c r="S61" s="181">
        <f>'[2]Opex Engine - Inputs'!S75</f>
        <v>0.31534809838342753</v>
      </c>
      <c r="T61" s="181">
        <f>'[2]Opex Engine - Inputs'!T75</f>
        <v>0.31577733778493833</v>
      </c>
      <c r="U61" s="181">
        <f>'[2]Opex Engine - Inputs'!U75</f>
        <v>0.31620867103718836</v>
      </c>
      <c r="V61" s="181">
        <f>'[2]Opex Engine - Inputs'!V75</f>
        <v>0.31664210835408352</v>
      </c>
      <c r="W61" s="181">
        <f>'[2]Opex Engine - Inputs'!W75</f>
        <v>0.31707765999935378</v>
      </c>
      <c r="X61" s="181">
        <f>'[2]Opex Engine - Inputs'!X75</f>
        <v>0.31751533628679601</v>
      </c>
      <c r="Y61" s="181">
        <f>'[2]Opex Engine - Inputs'!Y75</f>
        <v>0.31795514758051852</v>
      </c>
    </row>
    <row r="62" spans="7:25">
      <c r="G62" s="139" t="str">
        <f>G55</f>
        <v>Terminal International</v>
      </c>
      <c r="H62" s="138"/>
      <c r="I62" s="138"/>
      <c r="J62" s="137"/>
      <c r="K62" s="180"/>
      <c r="L62" s="180"/>
      <c r="M62" s="180"/>
      <c r="N62" s="181">
        <f>'[2]Opex Engine - Inputs'!N76</f>
        <v>4.8178677691670592E-2</v>
      </c>
      <c r="O62" s="181">
        <f>'[2]Opex Engine - Inputs'!O76</f>
        <v>6.3228301258888342E-2</v>
      </c>
      <c r="P62" s="181">
        <f>'[2]Opex Engine - Inputs'!P76</f>
        <v>5.621289519587061E-2</v>
      </c>
      <c r="Q62" s="181">
        <f>'[2]Opex Engine - Inputs'!Q76</f>
        <v>5.5618215483074017E-2</v>
      </c>
      <c r="R62" s="181">
        <f>'[2]Opex Engine - Inputs'!R76</f>
        <v>5.5018293735590654E-2</v>
      </c>
      <c r="S62" s="181">
        <f>'[2]Opex Engine - Inputs'!S76</f>
        <v>5.4413083745475252E-2</v>
      </c>
      <c r="T62" s="181">
        <f>'[2]Opex Engine - Inputs'!T76</f>
        <v>5.4075215837714324E-2</v>
      </c>
      <c r="U62" s="181">
        <f>'[2]Opex Engine - Inputs'!U76</f>
        <v>5.3735699793817968E-2</v>
      </c>
      <c r="V62" s="181">
        <f>'[2]Opex Engine - Inputs'!V76</f>
        <v>5.3394527574097753E-2</v>
      </c>
      <c r="W62" s="181">
        <f>'[2]Opex Engine - Inputs'!W76</f>
        <v>5.3051691099647198E-2</v>
      </c>
      <c r="X62" s="181">
        <f>'[2]Opex Engine - Inputs'!X76</f>
        <v>5.2707182252150535E-2</v>
      </c>
      <c r="Y62" s="181">
        <f>'[2]Opex Engine - Inputs'!Y76</f>
        <v>5.2360992873690469E-2</v>
      </c>
    </row>
    <row r="63" spans="7:25">
      <c r="G63" s="139" t="str">
        <f>G56</f>
        <v>Terminal Domestic - Jet</v>
      </c>
      <c r="H63" s="141"/>
      <c r="I63" s="141"/>
      <c r="J63" s="140"/>
      <c r="K63" s="180"/>
      <c r="L63" s="180"/>
      <c r="M63" s="180"/>
      <c r="N63" s="181">
        <f>'[2]Opex Engine - Inputs'!N77</f>
        <v>2.9617380401800043E-2</v>
      </c>
      <c r="O63" s="181">
        <f>'[2]Opex Engine - Inputs'!O77</f>
        <v>3.8868992265179252E-2</v>
      </c>
      <c r="P63" s="181">
        <f>'[2]Opex Engine - Inputs'!P77</f>
        <v>3.4556338618451782E-2</v>
      </c>
      <c r="Q63" s="181">
        <f>'[2]Opex Engine - Inputs'!Q77</f>
        <v>3.4190764963984828E-2</v>
      </c>
      <c r="R63" s="181">
        <f>'[2]Opex Engine - Inputs'!R77</f>
        <v>3.3821968818929994E-2</v>
      </c>
      <c r="S63" s="181">
        <f>'[2]Opex Engine - Inputs'!S77</f>
        <v>3.3449921777395759E-2</v>
      </c>
      <c r="T63" s="181">
        <f>'[2]Opex Engine - Inputs'!T77</f>
        <v>3.3242220718978255E-2</v>
      </c>
      <c r="U63" s="181">
        <f>'[2]Opex Engine - Inputs'!U77</f>
        <v>3.303350648466602E-2</v>
      </c>
      <c r="V63" s="181">
        <f>'[2]Opex Engine - Inputs'!V77</f>
        <v>3.2823774132137655E-2</v>
      </c>
      <c r="W63" s="181">
        <f>'[2]Opex Engine - Inputs'!W77</f>
        <v>3.2613018694962803E-2</v>
      </c>
      <c r="X63" s="181">
        <f>'[2]Opex Engine - Inputs'!X77</f>
        <v>3.2401235182484667E-2</v>
      </c>
      <c r="Y63" s="181">
        <f>'[2]Opex Engine - Inputs'!Y77</f>
        <v>3.2188418579701741E-2</v>
      </c>
    </row>
    <row r="64" spans="7:25">
      <c r="G64" s="139" t="str">
        <f>G57</f>
        <v>Terminal Domestic - Turbo Prop</v>
      </c>
      <c r="H64" s="138"/>
      <c r="I64" s="138"/>
      <c r="J64" s="137"/>
      <c r="K64" s="182"/>
      <c r="L64" s="182"/>
      <c r="M64" s="182"/>
      <c r="N64" s="181">
        <f>'[2]Opex Engine - Inputs'!N78</f>
        <v>3.5025573935836994E-3</v>
      </c>
      <c r="O64" s="181">
        <f>'[2]Opex Engine - Inputs'!O78</f>
        <v>4.5966548827956798E-3</v>
      </c>
      <c r="P64" s="181">
        <f>'[2]Opex Engine - Inputs'!P78</f>
        <v>4.0866395907142453E-3</v>
      </c>
      <c r="Q64" s="181">
        <f>'[2]Opex Engine - Inputs'!Q78</f>
        <v>4.0434067764348698E-3</v>
      </c>
      <c r="R64" s="181">
        <f>'[2]Opex Engine - Inputs'!R78</f>
        <v>3.9997928697671319E-3</v>
      </c>
      <c r="S64" s="181">
        <f>'[2]Opex Engine - Inputs'!S78</f>
        <v>3.9557945114245593E-3</v>
      </c>
      <c r="T64" s="181">
        <f>'[2]Opex Engine - Inputs'!T78</f>
        <v>3.9312317422685412E-3</v>
      </c>
      <c r="U64" s="181">
        <f>'[2]Opex Engine - Inputs'!U78</f>
        <v>3.9065491547263962E-3</v>
      </c>
      <c r="V64" s="181">
        <f>'[2]Opex Engine - Inputs'!V78</f>
        <v>3.8817461643181933E-3</v>
      </c>
      <c r="W64" s="181">
        <f>'[2]Opex Engine - Inputs'!W78</f>
        <v>3.8568221837128771E-3</v>
      </c>
      <c r="X64" s="181">
        <f>'[2]Opex Engine - Inputs'!X78</f>
        <v>3.8317766227143643E-3</v>
      </c>
      <c r="Y64" s="181">
        <f>'[2]Opex Engine - Inputs'!Y78</f>
        <v>3.8066088882475653E-3</v>
      </c>
    </row>
    <row r="65" spans="7:25">
      <c r="G65" s="103"/>
    </row>
    <row r="66" spans="7:25" ht="15.75">
      <c r="G66" s="89" t="s">
        <v>120</v>
      </c>
      <c r="K66" s="146" t="s">
        <v>68</v>
      </c>
      <c r="L66" s="145"/>
      <c r="M66" s="144"/>
      <c r="N66" s="143" t="s">
        <v>67</v>
      </c>
    </row>
    <row r="67" spans="7:25" ht="5.25" customHeight="1">
      <c r="G67" s="103"/>
    </row>
    <row r="68" spans="7:25">
      <c r="G68" s="139" t="str">
        <f>G61</f>
        <v>Airfield</v>
      </c>
      <c r="H68" s="141"/>
      <c r="I68" s="141"/>
      <c r="J68" s="140"/>
      <c r="K68" s="180"/>
      <c r="L68" s="180"/>
      <c r="M68" s="180"/>
      <c r="N68" s="181">
        <f>'[2]Opex Engine - Inputs'!N91</f>
        <v>0.26159828145996061</v>
      </c>
      <c r="O68" s="181">
        <f>'[2]Opex Engine - Inputs'!O91</f>
        <v>0.25603200383760139</v>
      </c>
      <c r="P68" s="181">
        <f>'[2]Opex Engine - Inputs'!P91</f>
        <v>0.25915017767528109</v>
      </c>
      <c r="Q68" s="181">
        <f>'[2]Opex Engine - Inputs'!Q91</f>
        <v>0.25915017767528109</v>
      </c>
      <c r="R68" s="181">
        <f>'[2]Opex Engine - Inputs'!R91</f>
        <v>0.25915017767528109</v>
      </c>
      <c r="S68" s="181">
        <f>'[2]Opex Engine - Inputs'!S91</f>
        <v>0.25915017767528103</v>
      </c>
      <c r="T68" s="181">
        <f>'[2]Opex Engine - Inputs'!T91</f>
        <v>0.25915017767528103</v>
      </c>
      <c r="U68" s="181">
        <f>'[2]Opex Engine - Inputs'!U91</f>
        <v>0.25915017767528109</v>
      </c>
      <c r="V68" s="181">
        <f>'[2]Opex Engine - Inputs'!V91</f>
        <v>0.25915017767528109</v>
      </c>
      <c r="W68" s="181">
        <f>'[2]Opex Engine - Inputs'!W91</f>
        <v>0.25915017767528109</v>
      </c>
      <c r="X68" s="181">
        <f>'[2]Opex Engine - Inputs'!X91</f>
        <v>0.25915017767528109</v>
      </c>
      <c r="Y68" s="181">
        <f>'[2]Opex Engine - Inputs'!Y91</f>
        <v>0.25915017767528103</v>
      </c>
    </row>
    <row r="69" spans="7:25">
      <c r="G69" s="139" t="str">
        <f>G62</f>
        <v>Terminal International</v>
      </c>
      <c r="H69" s="138"/>
      <c r="I69" s="138"/>
      <c r="J69" s="137"/>
      <c r="K69" s="180"/>
      <c r="L69" s="180"/>
      <c r="M69" s="180"/>
      <c r="N69" s="181">
        <f>'[2]Opex Engine - Inputs'!N92</f>
        <v>0.15548117010864837</v>
      </c>
      <c r="O69" s="181">
        <f>'[2]Opex Engine - Inputs'!O92</f>
        <v>0.15822722794828639</v>
      </c>
      <c r="P69" s="181">
        <f>'[2]Opex Engine - Inputs'!P92</f>
        <v>0.15668891342406668</v>
      </c>
      <c r="Q69" s="181">
        <f>'[2]Opex Engine - Inputs'!Q92</f>
        <v>0.15668891342406668</v>
      </c>
      <c r="R69" s="181">
        <f>'[2]Opex Engine - Inputs'!R92</f>
        <v>0.15668891342406666</v>
      </c>
      <c r="S69" s="181">
        <f>'[2]Opex Engine - Inputs'!S92</f>
        <v>0.15668891342406666</v>
      </c>
      <c r="T69" s="181">
        <f>'[2]Opex Engine - Inputs'!T92</f>
        <v>0.15668891342406666</v>
      </c>
      <c r="U69" s="181">
        <f>'[2]Opex Engine - Inputs'!U92</f>
        <v>0.15668891342406671</v>
      </c>
      <c r="V69" s="181">
        <f>'[2]Opex Engine - Inputs'!V92</f>
        <v>0.15668891342406668</v>
      </c>
      <c r="W69" s="181">
        <f>'[2]Opex Engine - Inputs'!W92</f>
        <v>0.15668891342406668</v>
      </c>
      <c r="X69" s="181">
        <f>'[2]Opex Engine - Inputs'!X92</f>
        <v>0.15668891342406666</v>
      </c>
      <c r="Y69" s="181">
        <f>'[2]Opex Engine - Inputs'!Y92</f>
        <v>0.15668891342406666</v>
      </c>
    </row>
    <row r="70" spans="7:25">
      <c r="G70" s="139" t="str">
        <f>G63</f>
        <v>Terminal Domestic - Jet</v>
      </c>
      <c r="H70" s="141"/>
      <c r="I70" s="141"/>
      <c r="J70" s="140"/>
      <c r="K70" s="180"/>
      <c r="L70" s="180"/>
      <c r="M70" s="180"/>
      <c r="N70" s="181">
        <f>'[2]Opex Engine - Inputs'!N93</f>
        <v>0.10190000445137092</v>
      </c>
      <c r="O70" s="181">
        <f>'[2]Opex Engine - Inputs'!O93</f>
        <v>0.10434269291355779</v>
      </c>
      <c r="P70" s="181">
        <f>'[2]Opex Engine - Inputs'!P93</f>
        <v>0.10297432292320778</v>
      </c>
      <c r="Q70" s="181">
        <f>'[2]Opex Engine - Inputs'!Q93</f>
        <v>0.1029743229232078</v>
      </c>
      <c r="R70" s="181">
        <f>'[2]Opex Engine - Inputs'!R93</f>
        <v>0.10297432292320782</v>
      </c>
      <c r="S70" s="181">
        <f>'[2]Opex Engine - Inputs'!S93</f>
        <v>0.10297432292320778</v>
      </c>
      <c r="T70" s="181">
        <f>'[2]Opex Engine - Inputs'!T93</f>
        <v>0.1029743229232078</v>
      </c>
      <c r="U70" s="181">
        <f>'[2]Opex Engine - Inputs'!U93</f>
        <v>0.10297432292320781</v>
      </c>
      <c r="V70" s="181">
        <f>'[2]Opex Engine - Inputs'!V93</f>
        <v>0.10297432292320782</v>
      </c>
      <c r="W70" s="181">
        <f>'[2]Opex Engine - Inputs'!W93</f>
        <v>0.1029743229232078</v>
      </c>
      <c r="X70" s="181">
        <f>'[2]Opex Engine - Inputs'!X93</f>
        <v>0.10297432292320781</v>
      </c>
      <c r="Y70" s="181">
        <f>'[2]Opex Engine - Inputs'!Y93</f>
        <v>0.1029743229232078</v>
      </c>
    </row>
    <row r="71" spans="7:25">
      <c r="G71" s="139" t="str">
        <f>G64</f>
        <v>Terminal Domestic - Turbo Prop</v>
      </c>
      <c r="H71" s="138"/>
      <c r="I71" s="138"/>
      <c r="J71" s="137"/>
      <c r="K71" s="182"/>
      <c r="L71" s="182"/>
      <c r="M71" s="182"/>
      <c r="N71" s="181">
        <f>'[2]Opex Engine - Inputs'!N94</f>
        <v>1.4142433105572276E-2</v>
      </c>
      <c r="O71" s="181">
        <f>'[2]Opex Engine - Inputs'!O94</f>
        <v>1.4681068308050197E-2</v>
      </c>
      <c r="P71" s="181">
        <f>'[2]Opex Engine - Inputs'!P94</f>
        <v>1.4379330178842749E-2</v>
      </c>
      <c r="Q71" s="181">
        <f>'[2]Opex Engine - Inputs'!Q94</f>
        <v>1.4379330178842751E-2</v>
      </c>
      <c r="R71" s="181">
        <f>'[2]Opex Engine - Inputs'!R94</f>
        <v>1.4379330178842754E-2</v>
      </c>
      <c r="S71" s="181">
        <f>'[2]Opex Engine - Inputs'!S94</f>
        <v>1.4379330178842751E-2</v>
      </c>
      <c r="T71" s="181">
        <f>'[2]Opex Engine - Inputs'!T94</f>
        <v>1.4379330178842749E-2</v>
      </c>
      <c r="U71" s="181">
        <f>'[2]Opex Engine - Inputs'!U94</f>
        <v>1.4379330178842752E-2</v>
      </c>
      <c r="V71" s="181">
        <f>'[2]Opex Engine - Inputs'!V94</f>
        <v>1.4379330178842754E-2</v>
      </c>
      <c r="W71" s="181">
        <f>'[2]Opex Engine - Inputs'!W94</f>
        <v>1.4379330178842752E-2</v>
      </c>
      <c r="X71" s="181">
        <f>'[2]Opex Engine - Inputs'!X94</f>
        <v>1.4379330178842752E-2</v>
      </c>
      <c r="Y71" s="181">
        <f>'[2]Opex Engine - Inputs'!Y94</f>
        <v>1.4379330178842751E-2</v>
      </c>
    </row>
    <row r="72" spans="7:25">
      <c r="G72" s="103"/>
    </row>
    <row r="73" spans="7:25" ht="15.75">
      <c r="G73" s="89" t="s">
        <v>119</v>
      </c>
      <c r="K73" s="146" t="s">
        <v>68</v>
      </c>
      <c r="L73" s="145"/>
      <c r="M73" s="144"/>
      <c r="N73" s="143" t="s">
        <v>67</v>
      </c>
    </row>
    <row r="74" spans="7:25" ht="6.75" customHeight="1">
      <c r="G74" s="103"/>
    </row>
    <row r="75" spans="7:25">
      <c r="G75" s="139" t="str">
        <f>G68</f>
        <v>Airfield</v>
      </c>
      <c r="H75" s="141"/>
      <c r="I75" s="141"/>
      <c r="J75" s="140"/>
      <c r="K75" s="180"/>
      <c r="L75" s="180"/>
      <c r="M75" s="180"/>
      <c r="N75" s="181">
        <f>'[2]Opex Engine - Inputs'!N107</f>
        <v>0.20963919021991614</v>
      </c>
      <c r="O75" s="181">
        <f>'[2]Opex Engine - Inputs'!O107</f>
        <v>0.2096391902199162</v>
      </c>
      <c r="P75" s="181">
        <f>'[2]Opex Engine - Inputs'!P107</f>
        <v>0.2096391902199162</v>
      </c>
      <c r="Q75" s="181">
        <f>'[2]Opex Engine - Inputs'!Q107</f>
        <v>0.2096391902199162</v>
      </c>
      <c r="R75" s="181">
        <f>'[2]Opex Engine - Inputs'!R107</f>
        <v>0.2096391902199162</v>
      </c>
      <c r="S75" s="181">
        <f>'[2]Opex Engine - Inputs'!S107</f>
        <v>0.20963919021991617</v>
      </c>
      <c r="T75" s="181">
        <f>'[2]Opex Engine - Inputs'!T107</f>
        <v>0.20963919021991617</v>
      </c>
      <c r="U75" s="181">
        <f>'[2]Opex Engine - Inputs'!U107</f>
        <v>0.2096391902199162</v>
      </c>
      <c r="V75" s="181">
        <f>'[2]Opex Engine - Inputs'!V107</f>
        <v>0.2096391902199162</v>
      </c>
      <c r="W75" s="181">
        <f>'[2]Opex Engine - Inputs'!W107</f>
        <v>0.20963919021991623</v>
      </c>
      <c r="X75" s="181">
        <f>'[2]Opex Engine - Inputs'!X107</f>
        <v>0.20963919021991617</v>
      </c>
      <c r="Y75" s="181">
        <f>'[2]Opex Engine - Inputs'!Y107</f>
        <v>0.20963919021991623</v>
      </c>
    </row>
    <row r="76" spans="7:25">
      <c r="G76" s="139" t="str">
        <f>G69</f>
        <v>Terminal International</v>
      </c>
      <c r="H76" s="138"/>
      <c r="I76" s="138"/>
      <c r="J76" s="137"/>
      <c r="K76" s="180"/>
      <c r="L76" s="180"/>
      <c r="M76" s="180"/>
      <c r="N76" s="181">
        <f>'[2]Opex Engine - Inputs'!N108</f>
        <v>0.16925566134874448</v>
      </c>
      <c r="O76" s="181">
        <f>'[2]Opex Engine - Inputs'!O108</f>
        <v>0.16925566134874453</v>
      </c>
      <c r="P76" s="181">
        <f>'[2]Opex Engine - Inputs'!P108</f>
        <v>0.16925566134874451</v>
      </c>
      <c r="Q76" s="181">
        <f>'[2]Opex Engine - Inputs'!Q108</f>
        <v>0.16925566134874451</v>
      </c>
      <c r="R76" s="181">
        <f>'[2]Opex Engine - Inputs'!R108</f>
        <v>0.16925566134874453</v>
      </c>
      <c r="S76" s="181">
        <f>'[2]Opex Engine - Inputs'!S108</f>
        <v>0.16925566134874451</v>
      </c>
      <c r="T76" s="181">
        <f>'[2]Opex Engine - Inputs'!T108</f>
        <v>0.13693720495274986</v>
      </c>
      <c r="U76" s="181">
        <f>'[2]Opex Engine - Inputs'!U108</f>
        <v>0.13693720495274983</v>
      </c>
      <c r="V76" s="181">
        <f>'[2]Opex Engine - Inputs'!V108</f>
        <v>0.13693720495274986</v>
      </c>
      <c r="W76" s="181">
        <f>'[2]Opex Engine - Inputs'!W108</f>
        <v>0.13693720495274986</v>
      </c>
      <c r="X76" s="181">
        <f>'[2]Opex Engine - Inputs'!X108</f>
        <v>0.13693720495274983</v>
      </c>
      <c r="Y76" s="181">
        <f>'[2]Opex Engine - Inputs'!Y108</f>
        <v>0.13693720495274986</v>
      </c>
    </row>
    <row r="77" spans="7:25">
      <c r="G77" s="139" t="str">
        <f>G70</f>
        <v>Terminal Domestic - Jet</v>
      </c>
      <c r="H77" s="141"/>
      <c r="I77" s="141"/>
      <c r="J77" s="140"/>
      <c r="K77" s="180"/>
      <c r="L77" s="180"/>
      <c r="M77" s="180"/>
      <c r="N77" s="181">
        <f>'[2]Opex Engine - Inputs'!N109</f>
        <v>6.5118865011155741E-2</v>
      </c>
      <c r="O77" s="181">
        <f>'[2]Opex Engine - Inputs'!O109</f>
        <v>6.5118865011155755E-2</v>
      </c>
      <c r="P77" s="181">
        <f>'[2]Opex Engine - Inputs'!P109</f>
        <v>6.5118865011155741E-2</v>
      </c>
      <c r="Q77" s="181">
        <f>'[2]Opex Engine - Inputs'!Q109</f>
        <v>6.5118865011155741E-2</v>
      </c>
      <c r="R77" s="181">
        <f>'[2]Opex Engine - Inputs'!R109</f>
        <v>6.5118865011155741E-2</v>
      </c>
      <c r="S77" s="181">
        <f>'[2]Opex Engine - Inputs'!S109</f>
        <v>6.5118865011155741E-2</v>
      </c>
      <c r="T77" s="181">
        <f>'[2]Opex Engine - Inputs'!T109</f>
        <v>8.4180834438841931E-2</v>
      </c>
      <c r="U77" s="181">
        <f>'[2]Opex Engine - Inputs'!U109</f>
        <v>8.4180834438841917E-2</v>
      </c>
      <c r="V77" s="181">
        <f>'[2]Opex Engine - Inputs'!V109</f>
        <v>8.4180834438841931E-2</v>
      </c>
      <c r="W77" s="181">
        <f>'[2]Opex Engine - Inputs'!W109</f>
        <v>8.4180834438841945E-2</v>
      </c>
      <c r="X77" s="181">
        <f>'[2]Opex Engine - Inputs'!X109</f>
        <v>8.4180834438841917E-2</v>
      </c>
      <c r="Y77" s="181">
        <f>'[2]Opex Engine - Inputs'!Y109</f>
        <v>8.4180834438841931E-2</v>
      </c>
    </row>
    <row r="78" spans="7:25">
      <c r="G78" s="139" t="str">
        <f>G71</f>
        <v>Terminal Domestic - Turbo Prop</v>
      </c>
      <c r="H78" s="138"/>
      <c r="I78" s="138"/>
      <c r="J78" s="137"/>
      <c r="K78" s="182"/>
      <c r="L78" s="182"/>
      <c r="M78" s="182"/>
      <c r="N78" s="181">
        <f>'[2]Opex Engine - Inputs'!N110</f>
        <v>6.9686249625177284E-3</v>
      </c>
      <c r="O78" s="181">
        <f>'[2]Opex Engine - Inputs'!O110</f>
        <v>6.9686249625177292E-3</v>
      </c>
      <c r="P78" s="181">
        <f>'[2]Opex Engine - Inputs'!P110</f>
        <v>6.9686249625177284E-3</v>
      </c>
      <c r="Q78" s="181">
        <f>'[2]Opex Engine - Inputs'!Q110</f>
        <v>6.9686249625177284E-3</v>
      </c>
      <c r="R78" s="181">
        <f>'[2]Opex Engine - Inputs'!R110</f>
        <v>6.9686249625177284E-3</v>
      </c>
      <c r="S78" s="181">
        <f>'[2]Opex Engine - Inputs'!S110</f>
        <v>6.9686249625177275E-3</v>
      </c>
      <c r="T78" s="181">
        <f>'[2]Opex Engine - Inputs'!T110</f>
        <v>9.9552424982153817E-3</v>
      </c>
      <c r="U78" s="181">
        <f>'[2]Opex Engine - Inputs'!U110</f>
        <v>9.9552424982153817E-3</v>
      </c>
      <c r="V78" s="181">
        <f>'[2]Opex Engine - Inputs'!V110</f>
        <v>9.9552424982153834E-3</v>
      </c>
      <c r="W78" s="181">
        <f>'[2]Opex Engine - Inputs'!W110</f>
        <v>9.9552424982153852E-3</v>
      </c>
      <c r="X78" s="181">
        <f>'[2]Opex Engine - Inputs'!X110</f>
        <v>9.9552424982153817E-3</v>
      </c>
      <c r="Y78" s="181">
        <f>'[2]Opex Engine - Inputs'!Y110</f>
        <v>9.9552424982153834E-3</v>
      </c>
    </row>
    <row r="79" spans="7:25">
      <c r="G79" s="103"/>
    </row>
    <row r="80" spans="7:25" ht="15.75">
      <c r="G80" s="89" t="s">
        <v>118</v>
      </c>
      <c r="K80" s="146" t="s">
        <v>68</v>
      </c>
      <c r="L80" s="145"/>
      <c r="M80" s="144"/>
      <c r="N80" s="143" t="s">
        <v>67</v>
      </c>
    </row>
    <row r="81" spans="7:25" ht="3.75" customHeight="1">
      <c r="G81" s="103"/>
    </row>
    <row r="82" spans="7:25">
      <c r="G82" s="139" t="str">
        <f>G75</f>
        <v>Airfield</v>
      </c>
      <c r="H82" s="141"/>
      <c r="I82" s="141"/>
      <c r="J82" s="140"/>
      <c r="K82" s="180"/>
      <c r="L82" s="180"/>
      <c r="M82" s="180"/>
      <c r="N82" s="181">
        <f>'[2]Opex Engine - Inputs'!N123</f>
        <v>7.3765415065631772E-3</v>
      </c>
      <c r="O82" s="181">
        <f>'[2]Opex Engine - Inputs'!O123</f>
        <v>7.3765415065631772E-3</v>
      </c>
      <c r="P82" s="181">
        <f>'[2]Opex Engine - Inputs'!P123</f>
        <v>7.3765415065631772E-3</v>
      </c>
      <c r="Q82" s="181">
        <f>'[2]Opex Engine - Inputs'!Q123</f>
        <v>7.3765415065631772E-3</v>
      </c>
      <c r="R82" s="181">
        <f>'[2]Opex Engine - Inputs'!R123</f>
        <v>7.3765415065631772E-3</v>
      </c>
      <c r="S82" s="181">
        <f>'[2]Opex Engine - Inputs'!S123</f>
        <v>7.3765415065631772E-3</v>
      </c>
      <c r="T82" s="181">
        <f>'[2]Opex Engine - Inputs'!T123</f>
        <v>7.3765415065631772E-3</v>
      </c>
      <c r="U82" s="181">
        <f>'[2]Opex Engine - Inputs'!U123</f>
        <v>7.3765415065631772E-3</v>
      </c>
      <c r="V82" s="181">
        <f>'[2]Opex Engine - Inputs'!V123</f>
        <v>7.3765415065631772E-3</v>
      </c>
      <c r="W82" s="181">
        <f>'[2]Opex Engine - Inputs'!W123</f>
        <v>7.3765415065631772E-3</v>
      </c>
      <c r="X82" s="181">
        <f>'[2]Opex Engine - Inputs'!X123</f>
        <v>7.3765415065631772E-3</v>
      </c>
      <c r="Y82" s="181">
        <f>'[2]Opex Engine - Inputs'!Y123</f>
        <v>7.3765415065631772E-3</v>
      </c>
    </row>
    <row r="83" spans="7:25">
      <c r="G83" s="139" t="str">
        <f>G76</f>
        <v>Terminal International</v>
      </c>
      <c r="H83" s="138"/>
      <c r="I83" s="138"/>
      <c r="J83" s="137"/>
      <c r="K83" s="180"/>
      <c r="L83" s="180"/>
      <c r="M83" s="180"/>
      <c r="N83" s="181">
        <f>'[2]Opex Engine - Inputs'!N124</f>
        <v>0.32071166445560345</v>
      </c>
      <c r="O83" s="181">
        <f>'[2]Opex Engine - Inputs'!O124</f>
        <v>0.32071166445560345</v>
      </c>
      <c r="P83" s="181">
        <f>'[2]Opex Engine - Inputs'!P124</f>
        <v>0.32071166445560345</v>
      </c>
      <c r="Q83" s="181">
        <f>'[2]Opex Engine - Inputs'!Q124</f>
        <v>0.32071166445560345</v>
      </c>
      <c r="R83" s="181">
        <f>'[2]Opex Engine - Inputs'!R124</f>
        <v>0.32071166445560345</v>
      </c>
      <c r="S83" s="181">
        <f>'[2]Opex Engine - Inputs'!S124</f>
        <v>0.32071166445560345</v>
      </c>
      <c r="T83" s="181">
        <f>'[2]Opex Engine - Inputs'!T124</f>
        <v>0.32071166445560345</v>
      </c>
      <c r="U83" s="181">
        <f>'[2]Opex Engine - Inputs'!U124</f>
        <v>0.32071166445560345</v>
      </c>
      <c r="V83" s="181">
        <f>'[2]Opex Engine - Inputs'!V124</f>
        <v>0.32071166445560345</v>
      </c>
      <c r="W83" s="181">
        <f>'[2]Opex Engine - Inputs'!W124</f>
        <v>0.32071166445560345</v>
      </c>
      <c r="X83" s="181">
        <f>'[2]Opex Engine - Inputs'!X124</f>
        <v>0.32071166445560345</v>
      </c>
      <c r="Y83" s="181">
        <f>'[2]Opex Engine - Inputs'!Y124</f>
        <v>0.32071166445560345</v>
      </c>
    </row>
    <row r="84" spans="7:25">
      <c r="G84" s="139" t="str">
        <f>G77</f>
        <v>Terminal Domestic - Jet</v>
      </c>
      <c r="H84" s="141"/>
      <c r="I84" s="141"/>
      <c r="J84" s="140"/>
      <c r="K84" s="180"/>
      <c r="L84" s="180"/>
      <c r="M84" s="180"/>
      <c r="N84" s="181">
        <f>'[2]Opex Engine - Inputs'!N125</f>
        <v>0.19715442225842242</v>
      </c>
      <c r="O84" s="181">
        <f>'[2]Opex Engine - Inputs'!O125</f>
        <v>0.19715442225842242</v>
      </c>
      <c r="P84" s="181">
        <f>'[2]Opex Engine - Inputs'!P125</f>
        <v>0.19715442225842242</v>
      </c>
      <c r="Q84" s="181">
        <f>'[2]Opex Engine - Inputs'!Q125</f>
        <v>0.19715442225842242</v>
      </c>
      <c r="R84" s="181">
        <f>'[2]Opex Engine - Inputs'!R125</f>
        <v>0.19715442225842242</v>
      </c>
      <c r="S84" s="181">
        <f>'[2]Opex Engine - Inputs'!S125</f>
        <v>0.19715442225842242</v>
      </c>
      <c r="T84" s="181">
        <f>'[2]Opex Engine - Inputs'!T125</f>
        <v>0.19715442225842242</v>
      </c>
      <c r="U84" s="181">
        <f>'[2]Opex Engine - Inputs'!U125</f>
        <v>0.19715442225842242</v>
      </c>
      <c r="V84" s="181">
        <f>'[2]Opex Engine - Inputs'!V125</f>
        <v>0.19715442225842242</v>
      </c>
      <c r="W84" s="181">
        <f>'[2]Opex Engine - Inputs'!W125</f>
        <v>0.19715442225842242</v>
      </c>
      <c r="X84" s="181">
        <f>'[2]Opex Engine - Inputs'!X125</f>
        <v>0.19715442225842242</v>
      </c>
      <c r="Y84" s="181">
        <f>'[2]Opex Engine - Inputs'!Y125</f>
        <v>0.19715442225842242</v>
      </c>
    </row>
    <row r="85" spans="7:25">
      <c r="G85" s="139" t="str">
        <f>G78</f>
        <v>Terminal Domestic - Turbo Prop</v>
      </c>
      <c r="H85" s="138"/>
      <c r="I85" s="138"/>
      <c r="J85" s="137"/>
      <c r="K85" s="182"/>
      <c r="L85" s="182"/>
      <c r="M85" s="182"/>
      <c r="N85" s="181">
        <f>'[2]Opex Engine - Inputs'!N126</f>
        <v>2.331552183180223E-2</v>
      </c>
      <c r="O85" s="181">
        <f>'[2]Opex Engine - Inputs'!O126</f>
        <v>2.331552183180223E-2</v>
      </c>
      <c r="P85" s="181">
        <f>'[2]Opex Engine - Inputs'!P126</f>
        <v>2.331552183180223E-2</v>
      </c>
      <c r="Q85" s="181">
        <f>'[2]Opex Engine - Inputs'!Q126</f>
        <v>2.331552183180223E-2</v>
      </c>
      <c r="R85" s="181">
        <f>'[2]Opex Engine - Inputs'!R126</f>
        <v>2.331552183180223E-2</v>
      </c>
      <c r="S85" s="181">
        <f>'[2]Opex Engine - Inputs'!S126</f>
        <v>2.331552183180223E-2</v>
      </c>
      <c r="T85" s="181">
        <f>'[2]Opex Engine - Inputs'!T126</f>
        <v>2.331552183180223E-2</v>
      </c>
      <c r="U85" s="181">
        <f>'[2]Opex Engine - Inputs'!U126</f>
        <v>2.331552183180223E-2</v>
      </c>
      <c r="V85" s="181">
        <f>'[2]Opex Engine - Inputs'!V126</f>
        <v>2.331552183180223E-2</v>
      </c>
      <c r="W85" s="181">
        <f>'[2]Opex Engine - Inputs'!W126</f>
        <v>2.331552183180223E-2</v>
      </c>
      <c r="X85" s="181">
        <f>'[2]Opex Engine - Inputs'!X126</f>
        <v>2.331552183180223E-2</v>
      </c>
      <c r="Y85" s="181">
        <f>'[2]Opex Engine - Inputs'!Y126</f>
        <v>2.331552183180223E-2</v>
      </c>
    </row>
    <row r="86" spans="7:25">
      <c r="G86" s="103"/>
    </row>
    <row r="87" spans="7:25" ht="15.75">
      <c r="G87" s="89" t="s">
        <v>117</v>
      </c>
      <c r="K87" s="146" t="s">
        <v>68</v>
      </c>
      <c r="L87" s="145"/>
      <c r="M87" s="144"/>
      <c r="N87" s="143" t="s">
        <v>67</v>
      </c>
    </row>
    <row r="88" spans="7:25" ht="7.5" customHeight="1">
      <c r="G88" s="103"/>
    </row>
    <row r="89" spans="7:25">
      <c r="G89" s="139" t="str">
        <f>G82</f>
        <v>Airfield</v>
      </c>
      <c r="H89" s="141"/>
      <c r="I89" s="141"/>
      <c r="J89" s="140"/>
      <c r="K89" s="180"/>
      <c r="L89" s="180"/>
      <c r="M89" s="180"/>
      <c r="N89" s="181">
        <f>'[2]Opex Engine - Inputs'!N139</f>
        <v>2.4561495760499874E-2</v>
      </c>
      <c r="O89" s="181">
        <f>'[2]Opex Engine - Inputs'!O139</f>
        <v>2.4561495760499884E-2</v>
      </c>
      <c r="P89" s="181">
        <f>'[2]Opex Engine - Inputs'!P139</f>
        <v>2.4561495760499878E-2</v>
      </c>
      <c r="Q89" s="181">
        <f>'[2]Opex Engine - Inputs'!Q139</f>
        <v>2.4561495760499874E-2</v>
      </c>
      <c r="R89" s="181">
        <f>'[2]Opex Engine - Inputs'!R139</f>
        <v>2.4561495760499881E-2</v>
      </c>
      <c r="S89" s="181">
        <f>'[2]Opex Engine - Inputs'!S139</f>
        <v>2.4561495760499881E-2</v>
      </c>
      <c r="T89" s="181">
        <f>'[2]Opex Engine - Inputs'!T139</f>
        <v>2.4561495760499878E-2</v>
      </c>
      <c r="U89" s="181">
        <f>'[2]Opex Engine - Inputs'!U139</f>
        <v>2.4561495760499878E-2</v>
      </c>
      <c r="V89" s="181">
        <f>'[2]Opex Engine - Inputs'!V139</f>
        <v>2.4561495760499878E-2</v>
      </c>
      <c r="W89" s="181">
        <f>'[2]Opex Engine - Inputs'!W139</f>
        <v>2.4561495760499878E-2</v>
      </c>
      <c r="X89" s="181">
        <f>'[2]Opex Engine - Inputs'!X139</f>
        <v>2.4561495760499878E-2</v>
      </c>
      <c r="Y89" s="181">
        <f>'[2]Opex Engine - Inputs'!Y139</f>
        <v>2.4561495760499881E-2</v>
      </c>
    </row>
    <row r="90" spans="7:25">
      <c r="G90" s="139" t="str">
        <f>G83</f>
        <v>Terminal International</v>
      </c>
      <c r="H90" s="138"/>
      <c r="I90" s="138"/>
      <c r="J90" s="137"/>
      <c r="K90" s="180"/>
      <c r="L90" s="180"/>
      <c r="M90" s="180"/>
      <c r="N90" s="181">
        <f>'[2]Opex Engine - Inputs'!N140</f>
        <v>0.29576764205957679</v>
      </c>
      <c r="O90" s="181">
        <f>'[2]Opex Engine - Inputs'!O140</f>
        <v>0.29576764205957684</v>
      </c>
      <c r="P90" s="181">
        <f>'[2]Opex Engine - Inputs'!P140</f>
        <v>0.29576764205957679</v>
      </c>
      <c r="Q90" s="181">
        <f>'[2]Opex Engine - Inputs'!Q140</f>
        <v>0.29576764205957679</v>
      </c>
      <c r="R90" s="181">
        <f>'[2]Opex Engine - Inputs'!R140</f>
        <v>0.29576764205957684</v>
      </c>
      <c r="S90" s="181">
        <f>'[2]Opex Engine - Inputs'!S140</f>
        <v>0.29576764205957684</v>
      </c>
      <c r="T90" s="181">
        <f>'[2]Opex Engine - Inputs'!T140</f>
        <v>0.29576764205957684</v>
      </c>
      <c r="U90" s="181">
        <f>'[2]Opex Engine - Inputs'!U140</f>
        <v>0.29576764205957679</v>
      </c>
      <c r="V90" s="181">
        <f>'[2]Opex Engine - Inputs'!V140</f>
        <v>0.29576764205957679</v>
      </c>
      <c r="W90" s="181">
        <f>'[2]Opex Engine - Inputs'!W140</f>
        <v>0.29576764205957684</v>
      </c>
      <c r="X90" s="181">
        <f>'[2]Opex Engine - Inputs'!X140</f>
        <v>0.29576764205957684</v>
      </c>
      <c r="Y90" s="181">
        <f>'[2]Opex Engine - Inputs'!Y140</f>
        <v>0.2957676420595769</v>
      </c>
    </row>
    <row r="91" spans="7:25">
      <c r="G91" s="139" t="str">
        <f>G84</f>
        <v>Terminal Domestic - Jet</v>
      </c>
      <c r="H91" s="141"/>
      <c r="I91" s="141"/>
      <c r="J91" s="140"/>
      <c r="K91" s="180"/>
      <c r="L91" s="180"/>
      <c r="M91" s="180"/>
      <c r="N91" s="181">
        <f>'[2]Opex Engine - Inputs'!N141</f>
        <v>0.18130880322563292</v>
      </c>
      <c r="O91" s="181">
        <f>'[2]Opex Engine - Inputs'!O141</f>
        <v>0.18130880322563295</v>
      </c>
      <c r="P91" s="181">
        <f>'[2]Opex Engine - Inputs'!P141</f>
        <v>0.18130880322563289</v>
      </c>
      <c r="Q91" s="181">
        <f>'[2]Opex Engine - Inputs'!Q141</f>
        <v>0.18130880322563292</v>
      </c>
      <c r="R91" s="181">
        <f>'[2]Opex Engine - Inputs'!R141</f>
        <v>0.18130880322563295</v>
      </c>
      <c r="S91" s="181">
        <f>'[2]Opex Engine - Inputs'!S141</f>
        <v>0.18130880322563298</v>
      </c>
      <c r="T91" s="181">
        <f>'[2]Opex Engine - Inputs'!T141</f>
        <v>0.18130880322563295</v>
      </c>
      <c r="U91" s="181">
        <f>'[2]Opex Engine - Inputs'!U141</f>
        <v>0.18130880322563292</v>
      </c>
      <c r="V91" s="181">
        <f>'[2]Opex Engine - Inputs'!V141</f>
        <v>0.18130880322563295</v>
      </c>
      <c r="W91" s="181">
        <f>'[2]Opex Engine - Inputs'!W141</f>
        <v>0.18130880322563292</v>
      </c>
      <c r="X91" s="181">
        <f>'[2]Opex Engine - Inputs'!X141</f>
        <v>0.18130880322563295</v>
      </c>
      <c r="Y91" s="181">
        <f>'[2]Opex Engine - Inputs'!Y141</f>
        <v>0.18130880322563298</v>
      </c>
    </row>
    <row r="92" spans="7:25">
      <c r="G92" s="139" t="str">
        <f>G85</f>
        <v>Terminal Domestic - Turbo Prop</v>
      </c>
      <c r="H92" s="138"/>
      <c r="I92" s="138"/>
      <c r="J92" s="137"/>
      <c r="K92" s="182"/>
      <c r="L92" s="182"/>
      <c r="M92" s="182"/>
      <c r="N92" s="181">
        <f>'[2]Opex Engine - Inputs'!N142</f>
        <v>2.1502108217006714E-2</v>
      </c>
      <c r="O92" s="181">
        <f>'[2]Opex Engine - Inputs'!O142</f>
        <v>2.1502108217006714E-2</v>
      </c>
      <c r="P92" s="181">
        <f>'[2]Opex Engine - Inputs'!P142</f>
        <v>2.150210821700671E-2</v>
      </c>
      <c r="Q92" s="181">
        <f>'[2]Opex Engine - Inputs'!Q142</f>
        <v>2.1502108217006714E-2</v>
      </c>
      <c r="R92" s="181">
        <f>'[2]Opex Engine - Inputs'!R142</f>
        <v>2.1502108217006714E-2</v>
      </c>
      <c r="S92" s="181">
        <f>'[2]Opex Engine - Inputs'!S142</f>
        <v>2.1502108217006717E-2</v>
      </c>
      <c r="T92" s="181">
        <f>'[2]Opex Engine - Inputs'!T142</f>
        <v>2.1502108217006717E-2</v>
      </c>
      <c r="U92" s="181">
        <f>'[2]Opex Engine - Inputs'!U142</f>
        <v>2.1502108217006714E-2</v>
      </c>
      <c r="V92" s="181">
        <f>'[2]Opex Engine - Inputs'!V142</f>
        <v>2.1502108217006717E-2</v>
      </c>
      <c r="W92" s="181">
        <f>'[2]Opex Engine - Inputs'!W142</f>
        <v>2.1502108217006714E-2</v>
      </c>
      <c r="X92" s="181">
        <f>'[2]Opex Engine - Inputs'!X142</f>
        <v>2.1502108217006717E-2</v>
      </c>
      <c r="Y92" s="181">
        <f>'[2]Opex Engine - Inputs'!Y142</f>
        <v>2.1502108217006721E-2</v>
      </c>
    </row>
    <row r="93" spans="7:25">
      <c r="G93" s="103"/>
    </row>
    <row r="94" spans="7:25" ht="15.75">
      <c r="G94" s="89" t="s">
        <v>116</v>
      </c>
      <c r="K94" s="146" t="s">
        <v>68</v>
      </c>
      <c r="L94" s="145"/>
      <c r="M94" s="144"/>
      <c r="N94" s="143" t="s">
        <v>67</v>
      </c>
    </row>
    <row r="95" spans="7:25" ht="6" customHeight="1">
      <c r="G95" s="103"/>
    </row>
    <row r="96" spans="7:25">
      <c r="G96" s="139" t="str">
        <f>G89</f>
        <v>Airfield</v>
      </c>
      <c r="H96" s="141"/>
      <c r="I96" s="141"/>
      <c r="J96" s="140"/>
      <c r="K96" s="180"/>
      <c r="L96" s="180"/>
      <c r="M96" s="180"/>
      <c r="N96" s="181">
        <f>'[2]Opex Engine - Inputs'!N155</f>
        <v>5.2490448133217092E-2</v>
      </c>
      <c r="O96" s="181">
        <f>'[2]Opex Engine - Inputs'!O155</f>
        <v>5.2490448133217092E-2</v>
      </c>
      <c r="P96" s="181">
        <f>'[2]Opex Engine - Inputs'!P155</f>
        <v>5.2490448133217092E-2</v>
      </c>
      <c r="Q96" s="181">
        <f>'[2]Opex Engine - Inputs'!Q155</f>
        <v>5.2490448133217092E-2</v>
      </c>
      <c r="R96" s="181">
        <f>'[2]Opex Engine - Inputs'!R155</f>
        <v>5.2490448133217092E-2</v>
      </c>
      <c r="S96" s="181">
        <f>'[2]Opex Engine - Inputs'!S155</f>
        <v>5.2490448133217092E-2</v>
      </c>
      <c r="T96" s="181">
        <f>'[2]Opex Engine - Inputs'!T155</f>
        <v>5.2490448133217092E-2</v>
      </c>
      <c r="U96" s="181">
        <f>'[2]Opex Engine - Inputs'!U155</f>
        <v>5.2490448133217092E-2</v>
      </c>
      <c r="V96" s="181">
        <f>'[2]Opex Engine - Inputs'!V155</f>
        <v>5.2490448133217092E-2</v>
      </c>
      <c r="W96" s="181">
        <f>'[2]Opex Engine - Inputs'!W155</f>
        <v>5.2490448133217092E-2</v>
      </c>
      <c r="X96" s="181">
        <f>'[2]Opex Engine - Inputs'!X155</f>
        <v>5.2490448133217092E-2</v>
      </c>
      <c r="Y96" s="181">
        <f>'[2]Opex Engine - Inputs'!Y155</f>
        <v>5.2490448133217092E-2</v>
      </c>
    </row>
    <row r="97" spans="7:25">
      <c r="G97" s="139" t="str">
        <f>G90</f>
        <v>Terminal International</v>
      </c>
      <c r="H97" s="138"/>
      <c r="I97" s="138"/>
      <c r="J97" s="137"/>
      <c r="K97" s="180"/>
      <c r="L97" s="180"/>
      <c r="M97" s="180"/>
      <c r="N97" s="181">
        <f>'[2]Opex Engine - Inputs'!N156</f>
        <v>0.12368117228369491</v>
      </c>
      <c r="O97" s="181">
        <f>'[2]Opex Engine - Inputs'!O156</f>
        <v>0.12532162374142261</v>
      </c>
      <c r="P97" s="181">
        <f>'[2]Opex Engine - Inputs'!P156</f>
        <v>0.12609043858447194</v>
      </c>
      <c r="Q97" s="181">
        <f>'[2]Opex Engine - Inputs'!Q156</f>
        <v>0.12640655898884956</v>
      </c>
      <c r="R97" s="181">
        <f>'[2]Opex Engine - Inputs'!R156</f>
        <v>0.12671618257069087</v>
      </c>
      <c r="S97" s="181">
        <f>'[2]Opex Engine - Inputs'!S156</f>
        <v>0.12701944285088157</v>
      </c>
      <c r="T97" s="181">
        <f>'[2]Opex Engine - Inputs'!T156</f>
        <v>0.12731647060622517</v>
      </c>
      <c r="U97" s="181">
        <f>'[2]Opex Engine - Inputs'!U156</f>
        <v>0.12760739392583836</v>
      </c>
      <c r="V97" s="181">
        <f>'[2]Opex Engine - Inputs'!V156</f>
        <v>0.12789233826638771</v>
      </c>
      <c r="W97" s="181">
        <f>'[2]Opex Engine - Inputs'!W156</f>
        <v>0.12817142650619073</v>
      </c>
      <c r="X97" s="181">
        <f>'[2]Opex Engine - Inputs'!X156</f>
        <v>0.12844477899820556</v>
      </c>
      <c r="Y97" s="181">
        <f>'[2]Opex Engine - Inputs'!Y156</f>
        <v>0.12871251362193131</v>
      </c>
    </row>
    <row r="98" spans="7:25">
      <c r="G98" s="139" t="str">
        <f>G91</f>
        <v>Terminal Domestic - Jet</v>
      </c>
      <c r="H98" s="141"/>
      <c r="I98" s="141"/>
      <c r="J98" s="140"/>
      <c r="K98" s="180"/>
      <c r="L98" s="180"/>
      <c r="M98" s="180"/>
      <c r="N98" s="181">
        <f>'[2]Opex Engine - Inputs'!N157</f>
        <v>8.5514936742799447E-2</v>
      </c>
      <c r="O98" s="181">
        <f>'[2]Opex Engine - Inputs'!O157</f>
        <v>8.6649168413206343E-2</v>
      </c>
      <c r="P98" s="181">
        <f>'[2]Opex Engine - Inputs'!P157</f>
        <v>8.71807380244604E-2</v>
      </c>
      <c r="Q98" s="181">
        <f>'[2]Opex Engine - Inputs'!Q157</f>
        <v>8.7399308206843954E-2</v>
      </c>
      <c r="R98" s="181">
        <f>'[2]Opex Engine - Inputs'!R157</f>
        <v>8.7613386392927983E-2</v>
      </c>
      <c r="S98" s="181">
        <f>'[2]Opex Engine - Inputs'!S157</f>
        <v>8.7823064900968209E-2</v>
      </c>
      <c r="T98" s="181">
        <f>'[2]Opex Engine - Inputs'!T157</f>
        <v>8.8028434151922616E-2</v>
      </c>
      <c r="U98" s="181">
        <f>'[2]Opex Engine - Inputs'!U157</f>
        <v>8.8229582708443888E-2</v>
      </c>
      <c r="V98" s="181">
        <f>'[2]Opex Engine - Inputs'!V157</f>
        <v>8.8426597313071051E-2</v>
      </c>
      <c r="W98" s="181">
        <f>'[2]Opex Engine - Inputs'!W157</f>
        <v>8.8619562925635526E-2</v>
      </c>
      <c r="X98" s="181">
        <f>'[2]Opex Engine - Inputs'!X157</f>
        <v>8.8808562759899026E-2</v>
      </c>
      <c r="Y98" s="181">
        <f>'[2]Opex Engine - Inputs'!Y157</f>
        <v>8.8993678319438274E-2</v>
      </c>
    </row>
    <row r="99" spans="7:25">
      <c r="G99" s="139" t="str">
        <f>G92</f>
        <v>Terminal Domestic - Turbo Prop</v>
      </c>
      <c r="H99" s="138"/>
      <c r="I99" s="138"/>
      <c r="J99" s="137"/>
      <c r="K99" s="182"/>
      <c r="L99" s="182"/>
      <c r="M99" s="182"/>
      <c r="N99" s="181">
        <f>'[2]Opex Engine - Inputs'!N158</f>
        <v>1.325189931728126E-2</v>
      </c>
      <c r="O99" s="181">
        <f>'[2]Opex Engine - Inputs'!O158</f>
        <v>1.3427666551301572E-2</v>
      </c>
      <c r="P99" s="181">
        <f>'[2]Opex Engine - Inputs'!P158</f>
        <v>1.3510041715650369E-2</v>
      </c>
      <c r="Q99" s="181">
        <f>'[2]Opex Engine - Inputs'!Q158</f>
        <v>1.3543912641140477E-2</v>
      </c>
      <c r="R99" s="181">
        <f>'[2]Opex Engine - Inputs'!R158</f>
        <v>1.3577087460371699E-2</v>
      </c>
      <c r="S99" s="181">
        <f>'[2]Opex Engine - Inputs'!S158</f>
        <v>1.3609580479525816E-2</v>
      </c>
      <c r="T99" s="181">
        <f>'[2]Opex Engine - Inputs'!T158</f>
        <v>1.364140571076815E-2</v>
      </c>
      <c r="U99" s="181">
        <f>'[2]Opex Engine - Inputs'!U158</f>
        <v>1.3672576878290071E-2</v>
      </c>
      <c r="V99" s="181">
        <f>'[2]Opex Engine - Inputs'!V158</f>
        <v>1.3703107424227394E-2</v>
      </c>
      <c r="W99" s="181">
        <f>'[2]Opex Engine - Inputs'!W158</f>
        <v>1.3733010514457033E-2</v>
      </c>
      <c r="X99" s="181">
        <f>'[2]Opex Engine - Inputs'!X158</f>
        <v>1.3762299044274647E-2</v>
      </c>
      <c r="Y99" s="181">
        <f>'[2]Opex Engine - Inputs'!Y158</f>
        <v>1.3790985643955525E-2</v>
      </c>
    </row>
    <row r="100" spans="7:25">
      <c r="G100" s="103"/>
    </row>
    <row r="101" spans="7:25" ht="15.75">
      <c r="G101" s="89" t="s">
        <v>115</v>
      </c>
      <c r="K101" s="146" t="s">
        <v>68</v>
      </c>
      <c r="L101" s="145"/>
      <c r="M101" s="144"/>
      <c r="N101" s="143" t="s">
        <v>67</v>
      </c>
    </row>
    <row r="102" spans="7:25" ht="5.25" customHeight="1">
      <c r="G102" s="103"/>
    </row>
    <row r="103" spans="7:25">
      <c r="G103" s="139" t="str">
        <f>G96</f>
        <v>Airfield</v>
      </c>
      <c r="H103" s="141"/>
      <c r="I103" s="141"/>
      <c r="J103" s="140"/>
      <c r="K103" s="180"/>
      <c r="L103" s="180"/>
      <c r="M103" s="180"/>
      <c r="N103" s="181">
        <v>0.14544571552318</v>
      </c>
      <c r="O103" s="181">
        <v>0.15042078662109273</v>
      </c>
      <c r="P103" s="181">
        <v>0.1222641303448732</v>
      </c>
      <c r="Q103" s="181">
        <f>'[2]Opex Engine - Inputs'!Q171</f>
        <v>0.1135410615236727</v>
      </c>
      <c r="R103" s="181">
        <f>'[2]Opex Engine - Inputs'!R171</f>
        <v>0.11354106152367273</v>
      </c>
      <c r="S103" s="181">
        <f>'[2]Opex Engine - Inputs'!S171</f>
        <v>0.1135410615236727</v>
      </c>
      <c r="T103" s="181">
        <f>'[2]Opex Engine - Inputs'!T171</f>
        <v>0.11354106152367273</v>
      </c>
      <c r="U103" s="181">
        <f>'[2]Opex Engine - Inputs'!U171</f>
        <v>0.11354106152367274</v>
      </c>
      <c r="V103" s="181">
        <f>'[2]Opex Engine - Inputs'!V171</f>
        <v>0.11354106152367273</v>
      </c>
      <c r="W103" s="181">
        <f>'[2]Opex Engine - Inputs'!W171</f>
        <v>0.11354106152367271</v>
      </c>
      <c r="X103" s="181">
        <f>'[2]Opex Engine - Inputs'!X171</f>
        <v>0.11354106152367271</v>
      </c>
      <c r="Y103" s="181">
        <f>'[2]Opex Engine - Inputs'!Y171</f>
        <v>0.11354106152367271</v>
      </c>
    </row>
    <row r="104" spans="7:25">
      <c r="G104" s="139" t="str">
        <f>G97</f>
        <v>Terminal International</v>
      </c>
      <c r="H104" s="138"/>
      <c r="I104" s="138"/>
      <c r="J104" s="137"/>
      <c r="K104" s="180"/>
      <c r="L104" s="180"/>
      <c r="M104" s="180"/>
      <c r="N104" s="181">
        <v>0.26864658868732039</v>
      </c>
      <c r="O104" s="181">
        <v>0.25458713457157267</v>
      </c>
      <c r="P104" s="181">
        <v>0.22400488556680065</v>
      </c>
      <c r="Q104" s="181">
        <f>'[2]Opex Engine - Inputs'!Q172</f>
        <v>0.21876462759112003</v>
      </c>
      <c r="R104" s="181">
        <f>'[2]Opex Engine - Inputs'!R172</f>
        <v>0.21876462759112009</v>
      </c>
      <c r="S104" s="181">
        <f>'[2]Opex Engine - Inputs'!S172</f>
        <v>0.21876462759112006</v>
      </c>
      <c r="T104" s="181">
        <f>'[2]Opex Engine - Inputs'!T172</f>
        <v>0.21876462759112006</v>
      </c>
      <c r="U104" s="181">
        <f>'[2]Opex Engine - Inputs'!U172</f>
        <v>0.21876462759112006</v>
      </c>
      <c r="V104" s="181">
        <f>'[2]Opex Engine - Inputs'!V172</f>
        <v>0.21876462759112006</v>
      </c>
      <c r="W104" s="181">
        <f>'[2]Opex Engine - Inputs'!W172</f>
        <v>0.21876462759112003</v>
      </c>
      <c r="X104" s="181">
        <f>'[2]Opex Engine - Inputs'!X172</f>
        <v>0.21876462759112003</v>
      </c>
      <c r="Y104" s="181">
        <f>'[2]Opex Engine - Inputs'!Y172</f>
        <v>0.21876462759112009</v>
      </c>
    </row>
    <row r="105" spans="7:25">
      <c r="G105" s="139" t="str">
        <f>G98</f>
        <v>Terminal Domestic - Jet</v>
      </c>
      <c r="H105" s="141"/>
      <c r="I105" s="141"/>
      <c r="J105" s="140"/>
      <c r="K105" s="180"/>
      <c r="L105" s="180"/>
      <c r="M105" s="180"/>
      <c r="N105" s="181">
        <v>0.20397526209476385</v>
      </c>
      <c r="O105" s="181">
        <v>0.2072844340560929</v>
      </c>
      <c r="P105" s="181">
        <v>0.22425056910060279</v>
      </c>
      <c r="Q105" s="181">
        <f>'[2]Opex Engine - Inputs'!Q173</f>
        <v>0.22370239116436252</v>
      </c>
      <c r="R105" s="181">
        <f>'[2]Opex Engine - Inputs'!R173</f>
        <v>0.22370239116436255</v>
      </c>
      <c r="S105" s="181">
        <f>'[2]Opex Engine - Inputs'!S173</f>
        <v>0.22370239116436252</v>
      </c>
      <c r="T105" s="181">
        <f>'[2]Opex Engine - Inputs'!T173</f>
        <v>0.22370239116436252</v>
      </c>
      <c r="U105" s="181">
        <f>'[2]Opex Engine - Inputs'!U173</f>
        <v>0.2237023911643625</v>
      </c>
      <c r="V105" s="181">
        <f>'[2]Opex Engine - Inputs'!V173</f>
        <v>0.22370239116436252</v>
      </c>
      <c r="W105" s="181">
        <f>'[2]Opex Engine - Inputs'!W173</f>
        <v>0.22370239116436247</v>
      </c>
      <c r="X105" s="181">
        <f>'[2]Opex Engine - Inputs'!X173</f>
        <v>0.22370239116436252</v>
      </c>
      <c r="Y105" s="181">
        <f>'[2]Opex Engine - Inputs'!Y173</f>
        <v>0.22370239116436252</v>
      </c>
    </row>
    <row r="106" spans="7:25">
      <c r="G106" s="139" t="str">
        <f>G99</f>
        <v>Terminal Domestic - Turbo Prop</v>
      </c>
      <c r="H106" s="138"/>
      <c r="I106" s="138"/>
      <c r="J106" s="137"/>
      <c r="K106" s="182"/>
      <c r="L106" s="182"/>
      <c r="M106" s="182"/>
      <c r="N106" s="181">
        <v>7.2520451021354779E-2</v>
      </c>
      <c r="O106" s="181">
        <v>7.5620082007575848E-2</v>
      </c>
      <c r="P106" s="181">
        <v>8.5952434957244056E-2</v>
      </c>
      <c r="Q106" s="181">
        <f>'[2]Opex Engine - Inputs'!Q174</f>
        <v>8.4952556826572628E-2</v>
      </c>
      <c r="R106" s="181">
        <f>'[2]Opex Engine - Inputs'!R174</f>
        <v>8.4952556826572656E-2</v>
      </c>
      <c r="S106" s="181">
        <f>'[2]Opex Engine - Inputs'!S174</f>
        <v>8.4952556826572642E-2</v>
      </c>
      <c r="T106" s="181">
        <f>'[2]Opex Engine - Inputs'!T174</f>
        <v>8.4952556826572642E-2</v>
      </c>
      <c r="U106" s="181">
        <f>'[2]Opex Engine - Inputs'!U174</f>
        <v>8.4952556826572614E-2</v>
      </c>
      <c r="V106" s="181">
        <f>'[2]Opex Engine - Inputs'!V174</f>
        <v>8.4952556826572628E-2</v>
      </c>
      <c r="W106" s="181">
        <f>'[2]Opex Engine - Inputs'!W174</f>
        <v>8.4952556826572614E-2</v>
      </c>
      <c r="X106" s="181">
        <f>'[2]Opex Engine - Inputs'!X174</f>
        <v>8.4952556826572614E-2</v>
      </c>
      <c r="Y106" s="181">
        <f>'[2]Opex Engine - Inputs'!Y174</f>
        <v>8.4952556826572628E-2</v>
      </c>
    </row>
    <row r="107" spans="7:25" ht="15.75">
      <c r="G107" s="89"/>
      <c r="H107" s="102"/>
    </row>
    <row r="108" spans="7:25" ht="15.75">
      <c r="G108" s="162" t="s">
        <v>130</v>
      </c>
      <c r="H108" s="163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359"/>
    </row>
    <row r="109" spans="7:25">
      <c r="G109" s="103"/>
      <c r="H109" s="102"/>
    </row>
    <row r="110" spans="7:25" ht="15.75">
      <c r="G110" s="89" t="s">
        <v>10</v>
      </c>
      <c r="H110" s="102"/>
      <c r="K110" s="150" t="s">
        <v>131</v>
      </c>
      <c r="N110" s="100" t="s">
        <v>132</v>
      </c>
    </row>
    <row r="111" spans="7:25" ht="6.75" customHeight="1">
      <c r="G111" s="170"/>
      <c r="H111" s="102"/>
    </row>
    <row r="112" spans="7:25" ht="15">
      <c r="G112" s="103" t="str">
        <f t="shared" ref="G112:G120" si="8">G13</f>
        <v>Personnel</v>
      </c>
      <c r="H112" s="102"/>
      <c r="I112" s="190"/>
      <c r="J112" s="164"/>
      <c r="K112" s="189"/>
      <c r="L112" s="189"/>
      <c r="M112" s="189"/>
      <c r="N112" s="164">
        <f t="shared" ref="N112:Y112" si="9">N13*N46</f>
        <v>5828090.37064212</v>
      </c>
      <c r="O112" s="164">
        <f t="shared" si="9"/>
        <v>6334485.9699552562</v>
      </c>
      <c r="P112" s="164">
        <f t="shared" si="9"/>
        <v>6736408.6182545312</v>
      </c>
      <c r="Q112" s="164">
        <f t="shared" si="9"/>
        <v>6913590.2185463468</v>
      </c>
      <c r="R112" s="164">
        <f t="shared" si="9"/>
        <v>7058775.6131358193</v>
      </c>
      <c r="S112" s="164">
        <f t="shared" si="9"/>
        <v>7207009.9010116709</v>
      </c>
      <c r="T112" s="164">
        <f t="shared" si="9"/>
        <v>7387185.1485369625</v>
      </c>
      <c r="U112" s="164">
        <f t="shared" si="9"/>
        <v>7571864.7772503858</v>
      </c>
      <c r="V112" s="164">
        <f t="shared" si="9"/>
        <v>7761161.396681645</v>
      </c>
      <c r="W112" s="164">
        <f t="shared" si="9"/>
        <v>7955190.4315986848</v>
      </c>
      <c r="X112" s="164">
        <f t="shared" si="9"/>
        <v>8154070.192388651</v>
      </c>
      <c r="Y112" s="363">
        <f t="shared" si="9"/>
        <v>48457944.544035323</v>
      </c>
    </row>
    <row r="113" spans="2:25" ht="15">
      <c r="G113" s="103" t="str">
        <f t="shared" si="8"/>
        <v>Promotions and airline incentives</v>
      </c>
      <c r="H113" s="102"/>
      <c r="I113" s="190"/>
      <c r="J113" s="164"/>
      <c r="K113" s="189"/>
      <c r="L113" s="189"/>
      <c r="M113" s="189"/>
      <c r="N113" s="164">
        <f t="shared" ref="N113:Y113" si="10">N14*N54</f>
        <v>893519.65425641509</v>
      </c>
      <c r="O113" s="164">
        <f t="shared" si="10"/>
        <v>270207.0794481879</v>
      </c>
      <c r="P113" s="164">
        <f t="shared" si="10"/>
        <v>295053.25251493166</v>
      </c>
      <c r="Q113" s="164">
        <f t="shared" si="10"/>
        <v>270652.39035395603</v>
      </c>
      <c r="R113" s="164">
        <f t="shared" si="10"/>
        <v>287698.85603638156</v>
      </c>
      <c r="S113" s="164">
        <f t="shared" si="10"/>
        <v>302488.877830568</v>
      </c>
      <c r="T113" s="164">
        <f t="shared" si="10"/>
        <v>343285.66911457956</v>
      </c>
      <c r="U113" s="164">
        <f t="shared" si="10"/>
        <v>358299.53146000061</v>
      </c>
      <c r="V113" s="164">
        <f t="shared" si="10"/>
        <v>375511.99302027363</v>
      </c>
      <c r="W113" s="164">
        <f t="shared" si="10"/>
        <v>389095.93583181861</v>
      </c>
      <c r="X113" s="164">
        <f t="shared" si="10"/>
        <v>403011.89691455237</v>
      </c>
      <c r="Y113" s="363">
        <f t="shared" si="10"/>
        <v>2455904.1110321824</v>
      </c>
    </row>
    <row r="114" spans="2:25" ht="15">
      <c r="G114" s="103" t="str">
        <f t="shared" si="8"/>
        <v>Consulting fees</v>
      </c>
      <c r="H114" s="102"/>
      <c r="I114" s="190"/>
      <c r="J114" s="164"/>
      <c r="K114" s="189"/>
      <c r="L114" s="189"/>
      <c r="M114" s="189"/>
      <c r="N114" s="164">
        <f t="shared" ref="N114:Y114" si="11">N15*N61</f>
        <v>688586.84800579748</v>
      </c>
      <c r="O114" s="164">
        <f t="shared" si="11"/>
        <v>454365.18019956705</v>
      </c>
      <c r="P114" s="164">
        <f t="shared" si="11"/>
        <v>432038.71913455724</v>
      </c>
      <c r="Q114" s="164">
        <f t="shared" si="11"/>
        <v>434832.57017990469</v>
      </c>
      <c r="R114" s="164">
        <f t="shared" si="11"/>
        <v>445042.30177396128</v>
      </c>
      <c r="S114" s="164">
        <f t="shared" si="11"/>
        <v>455498.78516010172</v>
      </c>
      <c r="T114" s="164">
        <f t="shared" si="11"/>
        <v>467521.76195596729</v>
      </c>
      <c r="U114" s="164">
        <f t="shared" si="11"/>
        <v>479864.37838673557</v>
      </c>
      <c r="V114" s="164">
        <f t="shared" si="11"/>
        <v>492535.19739972911</v>
      </c>
      <c r="W114" s="164">
        <f t="shared" si="11"/>
        <v>505543.01317464729</v>
      </c>
      <c r="X114" s="164">
        <f t="shared" si="11"/>
        <v>518896.8574191361</v>
      </c>
      <c r="Y114" s="363">
        <f t="shared" si="11"/>
        <v>3087967.6141663548</v>
      </c>
    </row>
    <row r="115" spans="2:25" ht="15">
      <c r="G115" s="103" t="str">
        <f t="shared" si="8"/>
        <v>Other admin</v>
      </c>
      <c r="H115" s="102"/>
      <c r="I115" s="190"/>
      <c r="J115" s="164"/>
      <c r="K115" s="189"/>
      <c r="L115" s="189"/>
      <c r="M115" s="189"/>
      <c r="N115" s="164">
        <f t="shared" ref="N115:Y115" si="12">N16*N68</f>
        <v>2070511.6812099321</v>
      </c>
      <c r="O115" s="164">
        <f t="shared" si="12"/>
        <v>2282503.1747328495</v>
      </c>
      <c r="P115" s="164">
        <f t="shared" si="12"/>
        <v>2555389.3157804129</v>
      </c>
      <c r="Q115" s="164">
        <f t="shared" si="12"/>
        <v>2642672.6646621856</v>
      </c>
      <c r="R115" s="164">
        <f t="shared" si="12"/>
        <v>2698168.7906200909</v>
      </c>
      <c r="S115" s="164">
        <f t="shared" si="12"/>
        <v>2754830.3352231123</v>
      </c>
      <c r="T115" s="164">
        <f t="shared" si="12"/>
        <v>2823701.0936036897</v>
      </c>
      <c r="U115" s="164">
        <f t="shared" si="12"/>
        <v>2894293.6209437824</v>
      </c>
      <c r="V115" s="164">
        <f t="shared" si="12"/>
        <v>2966650.9614673764</v>
      </c>
      <c r="W115" s="164">
        <f t="shared" si="12"/>
        <v>3040817.2355040605</v>
      </c>
      <c r="X115" s="164">
        <f t="shared" si="12"/>
        <v>3116837.6663916619</v>
      </c>
      <c r="Y115" s="363">
        <f t="shared" si="12"/>
        <v>18522718.498517524</v>
      </c>
    </row>
    <row r="116" spans="2:25" ht="15">
      <c r="G116" s="103" t="str">
        <f t="shared" si="8"/>
        <v>Maintenance</v>
      </c>
      <c r="H116" s="102"/>
      <c r="I116" s="190"/>
      <c r="J116" s="164"/>
      <c r="K116" s="189"/>
      <c r="L116" s="189"/>
      <c r="M116" s="189"/>
      <c r="N116" s="164">
        <f t="shared" ref="N116:Y116" si="13">N17*N75</f>
        <v>424403.8493383</v>
      </c>
      <c r="O116" s="164">
        <f t="shared" si="13"/>
        <v>416327.09430116485</v>
      </c>
      <c r="P116" s="164">
        <f t="shared" si="13"/>
        <v>730380.25565020728</v>
      </c>
      <c r="Q116" s="164">
        <f t="shared" si="13"/>
        <v>706466.85310225864</v>
      </c>
      <c r="R116" s="164">
        <f t="shared" si="13"/>
        <v>721302.65701740608</v>
      </c>
      <c r="S116" s="164">
        <f t="shared" si="13"/>
        <v>736450.01281477138</v>
      </c>
      <c r="T116" s="164">
        <f t="shared" si="13"/>
        <v>754861.26313514065</v>
      </c>
      <c r="U116" s="164">
        <f t="shared" si="13"/>
        <v>773732.79471351916</v>
      </c>
      <c r="V116" s="164">
        <f t="shared" si="13"/>
        <v>793076.11458135711</v>
      </c>
      <c r="W116" s="164">
        <f t="shared" si="13"/>
        <v>812903.01744589105</v>
      </c>
      <c r="X116" s="164">
        <f t="shared" si="13"/>
        <v>833225.59288203798</v>
      </c>
      <c r="Y116" s="363">
        <f t="shared" si="13"/>
        <v>4951686.534442368</v>
      </c>
    </row>
    <row r="117" spans="2:25" ht="15">
      <c r="G117" s="103" t="str">
        <f t="shared" si="8"/>
        <v>Cleaning</v>
      </c>
      <c r="H117" s="102"/>
      <c r="I117" s="190"/>
      <c r="J117" s="164"/>
      <c r="K117" s="189"/>
      <c r="L117" s="189"/>
      <c r="M117" s="189"/>
      <c r="N117" s="164">
        <f t="shared" ref="N117:Y117" si="14">N18*N82</f>
        <v>15246.020399302439</v>
      </c>
      <c r="O117" s="164">
        <f t="shared" si="14"/>
        <v>17039.987622095436</v>
      </c>
      <c r="P117" s="164">
        <f t="shared" si="14"/>
        <v>19205.976257750594</v>
      </c>
      <c r="Q117" s="164">
        <f t="shared" si="14"/>
        <v>19784.97338433862</v>
      </c>
      <c r="R117" s="164">
        <f t="shared" si="14"/>
        <v>20200.457825409725</v>
      </c>
      <c r="S117" s="164">
        <f t="shared" si="14"/>
        <v>20624.667439743331</v>
      </c>
      <c r="T117" s="164">
        <f t="shared" si="14"/>
        <v>21140.284125736911</v>
      </c>
      <c r="U117" s="164">
        <f t="shared" si="14"/>
        <v>21668.791228880331</v>
      </c>
      <c r="V117" s="164">
        <f t="shared" si="14"/>
        <v>22210.511009602338</v>
      </c>
      <c r="W117" s="164">
        <f t="shared" si="14"/>
        <v>22765.773784842393</v>
      </c>
      <c r="X117" s="164">
        <f t="shared" si="14"/>
        <v>23334.918129463451</v>
      </c>
      <c r="Y117" s="363">
        <f t="shared" si="14"/>
        <v>138674.56889353797</v>
      </c>
    </row>
    <row r="118" spans="2:25" ht="15">
      <c r="G118" s="103" t="str">
        <f t="shared" si="8"/>
        <v>Energy</v>
      </c>
      <c r="H118" s="102"/>
      <c r="I118" s="190"/>
      <c r="J118" s="164"/>
      <c r="K118" s="189"/>
      <c r="L118" s="189"/>
      <c r="M118" s="189"/>
      <c r="N118" s="164">
        <f t="shared" ref="N118:Y118" si="15">N19*N89</f>
        <v>72337.235019534317</v>
      </c>
      <c r="O118" s="164">
        <f t="shared" si="15"/>
        <v>91327.698390607839</v>
      </c>
      <c r="P118" s="164">
        <f t="shared" si="15"/>
        <v>98622.066700164636</v>
      </c>
      <c r="Q118" s="164">
        <f t="shared" si="15"/>
        <v>101580.72870116956</v>
      </c>
      <c r="R118" s="164">
        <f t="shared" si="15"/>
        <v>103713.92400389414</v>
      </c>
      <c r="S118" s="164">
        <f t="shared" si="15"/>
        <v>105891.91640797591</v>
      </c>
      <c r="T118" s="164">
        <f t="shared" si="15"/>
        <v>108539.21431817528</v>
      </c>
      <c r="U118" s="164">
        <f t="shared" si="15"/>
        <v>111252.69467612966</v>
      </c>
      <c r="V118" s="164">
        <f t="shared" si="15"/>
        <v>114034.01204303288</v>
      </c>
      <c r="W118" s="164">
        <f t="shared" si="15"/>
        <v>116884.86234410871</v>
      </c>
      <c r="X118" s="164">
        <f t="shared" si="15"/>
        <v>119806.98390271141</v>
      </c>
      <c r="Y118" s="363">
        <f t="shared" si="15"/>
        <v>711988.00659882871</v>
      </c>
    </row>
    <row r="119" spans="2:25" ht="15">
      <c r="G119" s="103" t="str">
        <f t="shared" si="8"/>
        <v>Rates</v>
      </c>
      <c r="H119" s="102"/>
      <c r="I119" s="190"/>
      <c r="J119" s="164"/>
      <c r="K119" s="189"/>
      <c r="L119" s="189"/>
      <c r="M119" s="189"/>
      <c r="N119" s="164">
        <f t="shared" ref="N119:Y119" si="16">N20*N96</f>
        <v>64327.044187257547</v>
      </c>
      <c r="O119" s="164">
        <f t="shared" si="16"/>
        <v>70862.104979843076</v>
      </c>
      <c r="P119" s="164">
        <f t="shared" si="16"/>
        <v>74405.210228835233</v>
      </c>
      <c r="Q119" s="164">
        <f t="shared" si="16"/>
        <v>62378.336300311865</v>
      </c>
      <c r="R119" s="164">
        <f t="shared" si="16"/>
        <v>63688.281362618414</v>
      </c>
      <c r="S119" s="164">
        <f t="shared" si="16"/>
        <v>65025.735271233396</v>
      </c>
      <c r="T119" s="164">
        <f t="shared" si="16"/>
        <v>66651.378653014224</v>
      </c>
      <c r="U119" s="164">
        <f t="shared" si="16"/>
        <v>68317.663119339573</v>
      </c>
      <c r="V119" s="164">
        <f t="shared" si="16"/>
        <v>70025.604697323055</v>
      </c>
      <c r="W119" s="164">
        <f t="shared" si="16"/>
        <v>71776.244814756123</v>
      </c>
      <c r="X119" s="164">
        <f t="shared" si="16"/>
        <v>73570.650935125013</v>
      </c>
      <c r="Y119" s="363">
        <f t="shared" si="16"/>
        <v>437215.08877991588</v>
      </c>
    </row>
    <row r="120" spans="2:25" ht="15">
      <c r="G120" s="103" t="str">
        <f t="shared" si="8"/>
        <v>Other operating costs</v>
      </c>
      <c r="H120" s="102"/>
      <c r="I120" s="190"/>
      <c r="J120" s="164"/>
      <c r="K120" s="189"/>
      <c r="L120" s="189"/>
      <c r="M120" s="189"/>
      <c r="N120" s="164">
        <f t="shared" ref="N120:Y120" si="17">N21*N103</f>
        <v>609043.0136889948</v>
      </c>
      <c r="O120" s="164">
        <f t="shared" si="17"/>
        <v>559446.21101795544</v>
      </c>
      <c r="P120" s="164">
        <f t="shared" si="17"/>
        <v>395400.64722614712</v>
      </c>
      <c r="Q120" s="164">
        <f t="shared" si="17"/>
        <v>370541.90596278256</v>
      </c>
      <c r="R120" s="164">
        <f t="shared" si="17"/>
        <v>378323.28598800104</v>
      </c>
      <c r="S120" s="164">
        <f t="shared" si="17"/>
        <v>386268.07499374892</v>
      </c>
      <c r="T120" s="164">
        <f t="shared" si="17"/>
        <v>395924.77686859271</v>
      </c>
      <c r="U120" s="164">
        <f t="shared" si="17"/>
        <v>405822.89629030752</v>
      </c>
      <c r="V120" s="164">
        <f t="shared" si="17"/>
        <v>415968.46869756514</v>
      </c>
      <c r="W120" s="164">
        <f t="shared" si="17"/>
        <v>426367.68041500414</v>
      </c>
      <c r="X120" s="164">
        <f t="shared" si="17"/>
        <v>437026.87242537917</v>
      </c>
      <c r="Y120" s="363">
        <f t="shared" si="17"/>
        <v>2597159.8782666987</v>
      </c>
    </row>
    <row r="121" spans="2:25">
      <c r="G121" s="103"/>
      <c r="H121" s="102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363"/>
    </row>
    <row r="122" spans="2:25">
      <c r="G122" s="169" t="str">
        <f>G23</f>
        <v>Total Operational Expenses</v>
      </c>
      <c r="H122" s="168"/>
      <c r="I122" s="168"/>
      <c r="J122" s="166"/>
      <c r="K122" s="166">
        <f t="shared" ref="K122:S122" si="18">SUM(K112:K121)</f>
        <v>0</v>
      </c>
      <c r="L122" s="166">
        <f t="shared" si="18"/>
        <v>0</v>
      </c>
      <c r="M122" s="166">
        <f t="shared" si="18"/>
        <v>0</v>
      </c>
      <c r="N122" s="166">
        <f t="shared" si="18"/>
        <v>10666065.716747653</v>
      </c>
      <c r="O122" s="166">
        <f t="shared" si="18"/>
        <v>10496564.500647526</v>
      </c>
      <c r="P122" s="166">
        <f t="shared" si="18"/>
        <v>11336904.061747536</v>
      </c>
      <c r="Q122" s="166">
        <f t="shared" si="18"/>
        <v>11522500.641193254</v>
      </c>
      <c r="R122" s="166">
        <f t="shared" si="18"/>
        <v>11776914.167763583</v>
      </c>
      <c r="S122" s="166">
        <f t="shared" si="18"/>
        <v>12034088.306152927</v>
      </c>
      <c r="T122" s="166">
        <f t="shared" ref="T122:Y122" si="19">SUM(T112:T121)</f>
        <v>12368810.590311857</v>
      </c>
      <c r="U122" s="166">
        <f t="shared" si="19"/>
        <v>12685117.148069082</v>
      </c>
      <c r="V122" s="166">
        <f t="shared" si="19"/>
        <v>13011174.259597903</v>
      </c>
      <c r="W122" s="166">
        <f t="shared" si="19"/>
        <v>13341344.194913812</v>
      </c>
      <c r="X122" s="166">
        <f t="shared" si="19"/>
        <v>13679781.631388716</v>
      </c>
      <c r="Y122" s="358">
        <f t="shared" si="19"/>
        <v>81361258.844732717</v>
      </c>
    </row>
    <row r="123" spans="2:25">
      <c r="G123" s="170"/>
      <c r="H123" s="102"/>
    </row>
    <row r="124" spans="2:25">
      <c r="H124" s="102"/>
    </row>
    <row r="125" spans="2:25" ht="15.75" hidden="1" outlineLevel="1">
      <c r="G125" s="89" t="s">
        <v>72</v>
      </c>
      <c r="H125" s="102"/>
      <c r="M125" s="152">
        <f>M127+M112</f>
        <v>0</v>
      </c>
      <c r="N125" s="152"/>
    </row>
    <row r="126" spans="2:25" hidden="1" outlineLevel="1">
      <c r="G126" s="170"/>
      <c r="H126" s="102"/>
      <c r="K126" s="111" t="s">
        <v>71</v>
      </c>
    </row>
    <row r="127" spans="2:25" ht="15" hidden="1" outlineLevel="1">
      <c r="B127" s="152"/>
      <c r="G127" s="103" t="s">
        <v>74</v>
      </c>
      <c r="H127" s="102"/>
      <c r="I127" s="159"/>
      <c r="J127" s="164"/>
      <c r="K127" s="189"/>
      <c r="L127" s="189"/>
      <c r="M127" s="189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363"/>
    </row>
    <row r="128" spans="2:25" ht="15" hidden="1" outlineLevel="1">
      <c r="B128" s="152"/>
      <c r="G128" s="103" t="s">
        <v>122</v>
      </c>
      <c r="H128" s="102"/>
      <c r="I128" s="159"/>
      <c r="J128" s="164"/>
      <c r="K128" s="189"/>
      <c r="L128" s="189"/>
      <c r="M128" s="189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363"/>
    </row>
    <row r="129" spans="2:25" ht="15" hidden="1" outlineLevel="1">
      <c r="B129" s="152"/>
      <c r="G129" s="103" t="s">
        <v>121</v>
      </c>
      <c r="H129" s="102"/>
      <c r="I129" s="159"/>
      <c r="J129" s="164"/>
      <c r="K129" s="189"/>
      <c r="L129" s="189"/>
      <c r="M129" s="189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363"/>
    </row>
    <row r="130" spans="2:25" ht="15" hidden="1" outlineLevel="1">
      <c r="B130" s="152"/>
      <c r="G130" s="103" t="s">
        <v>120</v>
      </c>
      <c r="H130" s="102"/>
      <c r="I130" s="159"/>
      <c r="J130" s="164"/>
      <c r="K130" s="189"/>
      <c r="L130" s="189"/>
      <c r="M130" s="189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363"/>
    </row>
    <row r="131" spans="2:25" ht="15" hidden="1" outlineLevel="1">
      <c r="B131" s="152"/>
      <c r="G131" s="103" t="s">
        <v>119</v>
      </c>
      <c r="H131" s="102"/>
      <c r="I131" s="159"/>
      <c r="J131" s="164"/>
      <c r="K131" s="189"/>
      <c r="L131" s="189"/>
      <c r="M131" s="189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363"/>
    </row>
    <row r="132" spans="2:25" ht="15" hidden="1" outlineLevel="1">
      <c r="B132" s="152"/>
      <c r="G132" s="103" t="s">
        <v>118</v>
      </c>
      <c r="H132" s="102"/>
      <c r="I132" s="159"/>
      <c r="J132" s="164"/>
      <c r="K132" s="189"/>
      <c r="L132" s="189"/>
      <c r="M132" s="189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363"/>
    </row>
    <row r="133" spans="2:25" ht="15" hidden="1" outlineLevel="1">
      <c r="B133" s="152"/>
      <c r="G133" s="103" t="s">
        <v>117</v>
      </c>
      <c r="H133" s="102"/>
      <c r="I133" s="159"/>
      <c r="J133" s="164"/>
      <c r="K133" s="189"/>
      <c r="L133" s="189"/>
      <c r="M133" s="189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363"/>
    </row>
    <row r="134" spans="2:25" ht="15" hidden="1" outlineLevel="1">
      <c r="B134" s="152"/>
      <c r="G134" s="103" t="s">
        <v>116</v>
      </c>
      <c r="H134" s="102"/>
      <c r="I134" s="159"/>
      <c r="J134" s="164"/>
      <c r="K134" s="189"/>
      <c r="L134" s="189"/>
      <c r="M134" s="189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363"/>
    </row>
    <row r="135" spans="2:25" ht="15" hidden="1" outlineLevel="1">
      <c r="B135" s="152"/>
      <c r="G135" s="103" t="s">
        <v>115</v>
      </c>
      <c r="H135" s="102"/>
      <c r="I135" s="159"/>
      <c r="J135" s="164"/>
      <c r="K135" s="189"/>
      <c r="L135" s="189"/>
      <c r="M135" s="189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363"/>
    </row>
    <row r="136" spans="2:25" hidden="1" outlineLevel="1">
      <c r="G136" s="103" t="s">
        <v>128</v>
      </c>
      <c r="H136" s="102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363"/>
    </row>
    <row r="137" spans="2:25" hidden="1" outlineLevel="1">
      <c r="G137" s="169" t="s">
        <v>114</v>
      </c>
      <c r="H137" s="168"/>
      <c r="I137" s="168"/>
      <c r="J137" s="166"/>
      <c r="K137" s="166">
        <f t="shared" ref="K137:S137" si="20">SUM(K127:K136)</f>
        <v>0</v>
      </c>
      <c r="L137" s="166">
        <f t="shared" si="20"/>
        <v>0</v>
      </c>
      <c r="M137" s="166">
        <f t="shared" si="20"/>
        <v>0</v>
      </c>
      <c r="N137" s="166"/>
      <c r="O137" s="166">
        <f t="shared" si="20"/>
        <v>0</v>
      </c>
      <c r="P137" s="166">
        <f t="shared" si="20"/>
        <v>0</v>
      </c>
      <c r="Q137" s="166">
        <f t="shared" si="20"/>
        <v>0</v>
      </c>
      <c r="R137" s="166">
        <f t="shared" si="20"/>
        <v>0</v>
      </c>
      <c r="S137" s="166">
        <f t="shared" si="20"/>
        <v>0</v>
      </c>
      <c r="T137" s="166">
        <f t="shared" ref="T137:Y137" si="21">SUM(T127:T136)</f>
        <v>0</v>
      </c>
      <c r="U137" s="166">
        <f t="shared" si="21"/>
        <v>0</v>
      </c>
      <c r="V137" s="166">
        <f t="shared" si="21"/>
        <v>0</v>
      </c>
      <c r="W137" s="166">
        <f t="shared" si="21"/>
        <v>0</v>
      </c>
      <c r="X137" s="166">
        <f t="shared" si="21"/>
        <v>0</v>
      </c>
      <c r="Y137" s="358">
        <f t="shared" si="21"/>
        <v>0</v>
      </c>
    </row>
    <row r="138" spans="2:25" collapsed="1">
      <c r="H138" s="102"/>
    </row>
    <row r="139" spans="2:25">
      <c r="G139" s="185" t="s">
        <v>9</v>
      </c>
      <c r="H139" s="102"/>
      <c r="K139" s="150"/>
    </row>
    <row r="140" spans="2:25" ht="9" customHeight="1">
      <c r="G140" s="89"/>
      <c r="H140" s="102"/>
      <c r="I140" s="188"/>
      <c r="J140" s="187"/>
      <c r="K140" s="186"/>
      <c r="L140" s="186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364"/>
    </row>
    <row r="141" spans="2:25">
      <c r="G141" s="103" t="s">
        <v>74</v>
      </c>
      <c r="H141" s="102"/>
      <c r="I141" s="175"/>
      <c r="J141" s="165"/>
      <c r="K141" s="174">
        <f t="shared" ref="K141:M149" si="22">K127*VLOOKUP($G$139,$G$26:$AZ$37,K$5,FALSE)</f>
        <v>0</v>
      </c>
      <c r="L141" s="174">
        <f t="shared" si="22"/>
        <v>0</v>
      </c>
      <c r="M141" s="174">
        <f t="shared" si="22"/>
        <v>0</v>
      </c>
      <c r="N141" s="164">
        <f t="shared" ref="N141:Y141" si="23">N13*N47</f>
        <v>1682508.5322883045</v>
      </c>
      <c r="O141" s="164">
        <f t="shared" si="23"/>
        <v>1828699.6278913277</v>
      </c>
      <c r="P141" s="164">
        <f t="shared" si="23"/>
        <v>1944730.4788352083</v>
      </c>
      <c r="Q141" s="164">
        <f t="shared" si="23"/>
        <v>1995880.9475645788</v>
      </c>
      <c r="R141" s="164">
        <f t="shared" si="23"/>
        <v>2037794.4474634344</v>
      </c>
      <c r="S141" s="164">
        <f t="shared" si="23"/>
        <v>2080588.1308601666</v>
      </c>
      <c r="T141" s="164">
        <f t="shared" si="23"/>
        <v>2132602.8341316711</v>
      </c>
      <c r="U141" s="164">
        <f t="shared" si="23"/>
        <v>2185917.9049849627</v>
      </c>
      <c r="V141" s="164">
        <f t="shared" si="23"/>
        <v>2240565.852609586</v>
      </c>
      <c r="W141" s="164">
        <f t="shared" si="23"/>
        <v>2296579.9989248253</v>
      </c>
      <c r="X141" s="164">
        <f t="shared" si="23"/>
        <v>2353994.4988979455</v>
      </c>
      <c r="Y141" s="363">
        <f t="shared" si="23"/>
        <v>13989300.091019368</v>
      </c>
    </row>
    <row r="142" spans="2:25">
      <c r="G142" s="103" t="s">
        <v>122</v>
      </c>
      <c r="H142" s="102"/>
      <c r="I142" s="175"/>
      <c r="J142" s="165"/>
      <c r="K142" s="174">
        <f t="shared" si="22"/>
        <v>0</v>
      </c>
      <c r="L142" s="174">
        <f t="shared" si="22"/>
        <v>0</v>
      </c>
      <c r="M142" s="174">
        <f t="shared" si="22"/>
        <v>0</v>
      </c>
      <c r="N142" s="164">
        <f t="shared" ref="N142:Y142" si="24">N14*N55</f>
        <v>1871485.6571074054</v>
      </c>
      <c r="O142" s="164">
        <f t="shared" si="24"/>
        <v>476339.35473178764</v>
      </c>
      <c r="P142" s="164">
        <f t="shared" si="24"/>
        <v>471978.45246928022</v>
      </c>
      <c r="Q142" s="164">
        <f t="shared" si="24"/>
        <v>518682.05784580478</v>
      </c>
      <c r="R142" s="164">
        <f t="shared" si="24"/>
        <v>530958.1691587721</v>
      </c>
      <c r="S142" s="164">
        <f t="shared" si="24"/>
        <v>544590.62760261854</v>
      </c>
      <c r="T142" s="164">
        <f t="shared" si="24"/>
        <v>634732.21917051903</v>
      </c>
      <c r="U142" s="164">
        <f t="shared" si="24"/>
        <v>652856.64699205977</v>
      </c>
      <c r="V142" s="164">
        <f t="shared" si="24"/>
        <v>672260.03113690659</v>
      </c>
      <c r="W142" s="164">
        <f t="shared" si="24"/>
        <v>690381.00671540911</v>
      </c>
      <c r="X142" s="164">
        <f t="shared" si="24"/>
        <v>713279.98774528422</v>
      </c>
      <c r="Y142" s="363">
        <f t="shared" si="24"/>
        <v>4275658.7987995939</v>
      </c>
    </row>
    <row r="143" spans="2:25">
      <c r="G143" s="103" t="s">
        <v>121</v>
      </c>
      <c r="H143" s="102"/>
      <c r="I143" s="175"/>
      <c r="J143" s="165"/>
      <c r="K143" s="174">
        <f t="shared" si="22"/>
        <v>0</v>
      </c>
      <c r="L143" s="174">
        <f t="shared" si="22"/>
        <v>0</v>
      </c>
      <c r="M143" s="174">
        <f t="shared" si="22"/>
        <v>0</v>
      </c>
      <c r="N143" s="164">
        <f t="shared" ref="N143:Y143" si="25">N15*N62</f>
        <v>61244.975975040114</v>
      </c>
      <c r="O143" s="164">
        <f t="shared" si="25"/>
        <v>94307.163619006824</v>
      </c>
      <c r="P143" s="164">
        <f t="shared" si="25"/>
        <v>77576.268737690058</v>
      </c>
      <c r="Q143" s="164">
        <f t="shared" si="25"/>
        <v>77065.956457805136</v>
      </c>
      <c r="R143" s="164">
        <f t="shared" si="25"/>
        <v>77835.618741575978</v>
      </c>
      <c r="S143" s="164">
        <f t="shared" si="25"/>
        <v>78595.982249250766</v>
      </c>
      <c r="T143" s="164">
        <f t="shared" si="25"/>
        <v>80060.654016329077</v>
      </c>
      <c r="U143" s="164">
        <f t="shared" si="25"/>
        <v>81546.935743909737</v>
      </c>
      <c r="V143" s="164">
        <f t="shared" si="25"/>
        <v>83054.917475995142</v>
      </c>
      <c r="W143" s="164">
        <f t="shared" si="25"/>
        <v>84584.678001537293</v>
      </c>
      <c r="X143" s="164">
        <f t="shared" si="25"/>
        <v>86136.284167877282</v>
      </c>
      <c r="Y143" s="363">
        <f t="shared" si="25"/>
        <v>508527.85831563099</v>
      </c>
    </row>
    <row r="144" spans="2:25">
      <c r="G144" s="103" t="s">
        <v>120</v>
      </c>
      <c r="H144" s="102"/>
      <c r="I144" s="175"/>
      <c r="J144" s="165"/>
      <c r="K144" s="174">
        <f t="shared" si="22"/>
        <v>0</v>
      </c>
      <c r="L144" s="174">
        <f t="shared" si="22"/>
        <v>0</v>
      </c>
      <c r="M144" s="174">
        <f t="shared" si="22"/>
        <v>0</v>
      </c>
      <c r="N144" s="164">
        <f t="shared" ref="N144:Y144" si="26">N16*N69</f>
        <v>1230610.4501967758</v>
      </c>
      <c r="O144" s="164">
        <f t="shared" si="26"/>
        <v>1410582.0550083204</v>
      </c>
      <c r="P144" s="164">
        <f t="shared" si="26"/>
        <v>1545054.6044649468</v>
      </c>
      <c r="Q144" s="164">
        <f t="shared" si="26"/>
        <v>1597828.3791888652</v>
      </c>
      <c r="R144" s="164">
        <f t="shared" si="26"/>
        <v>1631382.7751518306</v>
      </c>
      <c r="S144" s="164">
        <f t="shared" si="26"/>
        <v>1665641.8134300192</v>
      </c>
      <c r="T144" s="164">
        <f t="shared" si="26"/>
        <v>1707282.8587657693</v>
      </c>
      <c r="U144" s="164">
        <f t="shared" si="26"/>
        <v>1749964.9302349139</v>
      </c>
      <c r="V144" s="164">
        <f t="shared" si="26"/>
        <v>1793714.0534907861</v>
      </c>
      <c r="W144" s="164">
        <f t="shared" si="26"/>
        <v>1838556.9048280558</v>
      </c>
      <c r="X144" s="164">
        <f t="shared" si="26"/>
        <v>1884520.8274487567</v>
      </c>
      <c r="Y144" s="363">
        <f t="shared" si="26"/>
        <v>11199315.629369162</v>
      </c>
    </row>
    <row r="145" spans="7:25">
      <c r="G145" s="103" t="s">
        <v>119</v>
      </c>
      <c r="H145" s="102"/>
      <c r="I145" s="175"/>
      <c r="J145" s="165"/>
      <c r="K145" s="174">
        <f t="shared" si="22"/>
        <v>0</v>
      </c>
      <c r="L145" s="174">
        <f t="shared" si="22"/>
        <v>0</v>
      </c>
      <c r="M145" s="174">
        <f t="shared" si="22"/>
        <v>0</v>
      </c>
      <c r="N145" s="164">
        <f t="shared" ref="N145:Y145" si="27">N17*N76</f>
        <v>342649.45463371009</v>
      </c>
      <c r="O145" s="164">
        <f t="shared" si="27"/>
        <v>336128.5531079598</v>
      </c>
      <c r="P145" s="164">
        <f t="shared" si="27"/>
        <v>589684.55791333551</v>
      </c>
      <c r="Q145" s="164">
        <f t="shared" si="27"/>
        <v>570377.67755806458</v>
      </c>
      <c r="R145" s="164">
        <f t="shared" si="27"/>
        <v>582355.608786784</v>
      </c>
      <c r="S145" s="164">
        <f t="shared" si="27"/>
        <v>594585.07657130633</v>
      </c>
      <c r="T145" s="164">
        <f t="shared" si="27"/>
        <v>493078.56700072368</v>
      </c>
      <c r="U145" s="164">
        <f t="shared" si="27"/>
        <v>505405.53117574163</v>
      </c>
      <c r="V145" s="164">
        <f t="shared" si="27"/>
        <v>518040.66945513524</v>
      </c>
      <c r="W145" s="164">
        <f t="shared" si="27"/>
        <v>530991.68619151355</v>
      </c>
      <c r="X145" s="164">
        <f t="shared" si="27"/>
        <v>544266.47834630124</v>
      </c>
      <c r="Y145" s="363">
        <f t="shared" si="27"/>
        <v>3234462.5693191974</v>
      </c>
    </row>
    <row r="146" spans="7:25">
      <c r="G146" s="103" t="s">
        <v>118</v>
      </c>
      <c r="H146" s="102"/>
      <c r="I146" s="175"/>
      <c r="J146" s="165"/>
      <c r="K146" s="174">
        <f t="shared" si="22"/>
        <v>0</v>
      </c>
      <c r="L146" s="174">
        <f t="shared" si="22"/>
        <v>0</v>
      </c>
      <c r="M146" s="174">
        <f t="shared" si="22"/>
        <v>0</v>
      </c>
      <c r="N146" s="164">
        <f t="shared" ref="N146:Y146" si="28">N18*N83</f>
        <v>662854.88588845264</v>
      </c>
      <c r="O146" s="164">
        <f t="shared" si="28"/>
        <v>740851.62914392434</v>
      </c>
      <c r="P146" s="164">
        <f t="shared" si="28"/>
        <v>835022.83660135209</v>
      </c>
      <c r="Q146" s="164">
        <f t="shared" si="28"/>
        <v>860196.03355521464</v>
      </c>
      <c r="R146" s="164">
        <f t="shared" si="28"/>
        <v>878260.15025987395</v>
      </c>
      <c r="S146" s="164">
        <f t="shared" si="28"/>
        <v>896703.61341533123</v>
      </c>
      <c r="T146" s="164">
        <f t="shared" si="28"/>
        <v>919121.20375071443</v>
      </c>
      <c r="U146" s="164">
        <f t="shared" si="28"/>
        <v>942099.23384448222</v>
      </c>
      <c r="V146" s="164">
        <f t="shared" si="28"/>
        <v>965651.71469059412</v>
      </c>
      <c r="W146" s="164">
        <f t="shared" si="28"/>
        <v>989793.00755785895</v>
      </c>
      <c r="X146" s="164">
        <f t="shared" si="28"/>
        <v>1014537.8327468054</v>
      </c>
      <c r="Y146" s="363">
        <f t="shared" si="28"/>
        <v>6029187.494971619</v>
      </c>
    </row>
    <row r="147" spans="7:25">
      <c r="G147" s="103" t="s">
        <v>117</v>
      </c>
      <c r="H147" s="102"/>
      <c r="I147" s="175"/>
      <c r="J147" s="165"/>
      <c r="K147" s="174">
        <f t="shared" si="22"/>
        <v>0</v>
      </c>
      <c r="L147" s="174">
        <f t="shared" si="22"/>
        <v>0</v>
      </c>
      <c r="M147" s="174">
        <f t="shared" si="22"/>
        <v>0</v>
      </c>
      <c r="N147" s="164">
        <f t="shared" ref="N147:Y147" si="29">N19*N90</f>
        <v>871079.41810469271</v>
      </c>
      <c r="O147" s="164">
        <f t="shared" si="29"/>
        <v>1099761.1167948078</v>
      </c>
      <c r="P147" s="164">
        <f t="shared" si="29"/>
        <v>1187599.338712112</v>
      </c>
      <c r="Q147" s="164">
        <f t="shared" si="29"/>
        <v>1223227.3188734755</v>
      </c>
      <c r="R147" s="164">
        <f t="shared" si="29"/>
        <v>1248915.0925698185</v>
      </c>
      <c r="S147" s="164">
        <f t="shared" si="29"/>
        <v>1275142.3095137847</v>
      </c>
      <c r="T147" s="164">
        <f t="shared" si="29"/>
        <v>1307020.8672516292</v>
      </c>
      <c r="U147" s="164">
        <f t="shared" si="29"/>
        <v>1339696.3889329196</v>
      </c>
      <c r="V147" s="164">
        <f t="shared" si="29"/>
        <v>1373188.7986562424</v>
      </c>
      <c r="W147" s="164">
        <f t="shared" si="29"/>
        <v>1407518.5186226489</v>
      </c>
      <c r="X147" s="164">
        <f t="shared" si="29"/>
        <v>1442706.4815882149</v>
      </c>
      <c r="Y147" s="363">
        <f t="shared" si="29"/>
        <v>8573704.7914279066</v>
      </c>
    </row>
    <row r="148" spans="7:25">
      <c r="G148" s="103" t="s">
        <v>116</v>
      </c>
      <c r="H148" s="102"/>
      <c r="I148" s="175"/>
      <c r="J148" s="165"/>
      <c r="K148" s="174">
        <f t="shared" si="22"/>
        <v>0</v>
      </c>
      <c r="L148" s="174">
        <f t="shared" si="22"/>
        <v>0</v>
      </c>
      <c r="M148" s="174">
        <f t="shared" si="22"/>
        <v>0</v>
      </c>
      <c r="N148" s="164">
        <f t="shared" ref="N148:Y148" si="30">N20*N97</f>
        <v>151571.27663366811</v>
      </c>
      <c r="O148" s="164">
        <f t="shared" si="30"/>
        <v>169184.19205092054</v>
      </c>
      <c r="P148" s="164">
        <f t="shared" si="30"/>
        <v>178733.19669348898</v>
      </c>
      <c r="Q148" s="164">
        <f t="shared" si="30"/>
        <v>150218.39453837409</v>
      </c>
      <c r="R148" s="164">
        <f t="shared" si="30"/>
        <v>153748.65667515609</v>
      </c>
      <c r="S148" s="164">
        <f t="shared" si="30"/>
        <v>157353.06058273435</v>
      </c>
      <c r="T148" s="164">
        <f t="shared" si="30"/>
        <v>161664.04732541917</v>
      </c>
      <c r="U148" s="164">
        <f t="shared" si="30"/>
        <v>166084.29266286732</v>
      </c>
      <c r="V148" s="164">
        <f t="shared" si="30"/>
        <v>170616.53389830756</v>
      </c>
      <c r="W148" s="164">
        <f t="shared" si="30"/>
        <v>175263.57679051938</v>
      </c>
      <c r="X148" s="164">
        <f t="shared" si="30"/>
        <v>180028.2972653122</v>
      </c>
      <c r="Y148" s="363">
        <f t="shared" si="30"/>
        <v>1072100.8311355368</v>
      </c>
    </row>
    <row r="149" spans="7:25">
      <c r="G149" s="103" t="s">
        <v>115</v>
      </c>
      <c r="H149" s="102"/>
      <c r="I149" s="175"/>
      <c r="J149" s="165"/>
      <c r="K149" s="174">
        <f t="shared" si="22"/>
        <v>0</v>
      </c>
      <c r="L149" s="174">
        <f t="shared" si="22"/>
        <v>0</v>
      </c>
      <c r="M149" s="174">
        <f t="shared" si="22"/>
        <v>0</v>
      </c>
      <c r="N149" s="164">
        <f t="shared" ref="N149:Y149" si="31">N21*N104</f>
        <v>1124937.4201422755</v>
      </c>
      <c r="O149" s="164">
        <f t="shared" si="31"/>
        <v>946862.53814612585</v>
      </c>
      <c r="P149" s="164">
        <f t="shared" si="31"/>
        <v>724428.95954108424</v>
      </c>
      <c r="Q149" s="164">
        <f t="shared" si="31"/>
        <v>713939.61776507669</v>
      </c>
      <c r="R149" s="164">
        <f t="shared" si="31"/>
        <v>728932.34973814338</v>
      </c>
      <c r="S149" s="164">
        <f t="shared" si="31"/>
        <v>744239.92908264429</v>
      </c>
      <c r="T149" s="164">
        <f t="shared" si="31"/>
        <v>762845.9273097103</v>
      </c>
      <c r="U149" s="164">
        <f t="shared" si="31"/>
        <v>781917.07549245295</v>
      </c>
      <c r="V149" s="164">
        <f t="shared" si="31"/>
        <v>801465.00237976422</v>
      </c>
      <c r="W149" s="164">
        <f t="shared" si="31"/>
        <v>821501.62743925815</v>
      </c>
      <c r="X149" s="164">
        <f t="shared" si="31"/>
        <v>842039.16812523943</v>
      </c>
      <c r="Y149" s="363">
        <f t="shared" si="31"/>
        <v>5004063.7804425787</v>
      </c>
    </row>
    <row r="150" spans="7:25">
      <c r="G150" s="103" t="s">
        <v>128</v>
      </c>
      <c r="H150" s="102"/>
      <c r="I150" s="175"/>
      <c r="J150" s="165"/>
      <c r="K150" s="174">
        <f t="shared" ref="K150:Y150" si="32">K22</f>
        <v>0</v>
      </c>
      <c r="L150" s="174">
        <f t="shared" si="32"/>
        <v>0</v>
      </c>
      <c r="M150" s="174">
        <f t="shared" si="32"/>
        <v>0</v>
      </c>
      <c r="N150" s="164">
        <f t="shared" si="32"/>
        <v>577037</v>
      </c>
      <c r="O150" s="164">
        <f t="shared" si="32"/>
        <v>561347</v>
      </c>
      <c r="P150" s="164">
        <f t="shared" si="32"/>
        <v>593862</v>
      </c>
      <c r="Q150" s="164">
        <f t="shared" si="32"/>
        <v>639870.18283982598</v>
      </c>
      <c r="R150" s="164">
        <f t="shared" si="32"/>
        <v>726457.07824143535</v>
      </c>
      <c r="S150" s="164">
        <f t="shared" si="32"/>
        <v>748250.79103908339</v>
      </c>
      <c r="T150" s="164">
        <f t="shared" si="32"/>
        <v>770698.31463288818</v>
      </c>
      <c r="U150" s="164">
        <f t="shared" si="32"/>
        <v>793819.263520426</v>
      </c>
      <c r="V150" s="164">
        <f t="shared" si="32"/>
        <v>817633.84144855605</v>
      </c>
      <c r="W150" s="164">
        <f t="shared" si="32"/>
        <v>842162.85704352986</v>
      </c>
      <c r="X150" s="164">
        <f t="shared" si="32"/>
        <v>894500.88489145227</v>
      </c>
      <c r="Y150" s="363">
        <f t="shared" si="32"/>
        <v>5438513.4313918054</v>
      </c>
    </row>
    <row r="151" spans="7:25">
      <c r="G151" s="169" t="s">
        <v>114</v>
      </c>
      <c r="H151" s="168"/>
      <c r="I151" s="178"/>
      <c r="J151" s="167"/>
      <c r="K151" s="177">
        <f t="shared" ref="K151:S151" si="33">SUM(K141:K150)</f>
        <v>0</v>
      </c>
      <c r="L151" s="177">
        <f t="shared" si="33"/>
        <v>0</v>
      </c>
      <c r="M151" s="177">
        <f t="shared" si="33"/>
        <v>0</v>
      </c>
      <c r="N151" s="166">
        <f t="shared" si="33"/>
        <v>8575979.0709703229</v>
      </c>
      <c r="O151" s="166">
        <f t="shared" si="33"/>
        <v>7664063.2304941807</v>
      </c>
      <c r="P151" s="166">
        <f t="shared" si="33"/>
        <v>8148670.6939684981</v>
      </c>
      <c r="Q151" s="166">
        <f t="shared" si="33"/>
        <v>8347286.5661870837</v>
      </c>
      <c r="R151" s="166">
        <f t="shared" si="33"/>
        <v>8596639.9467868246</v>
      </c>
      <c r="S151" s="166">
        <f t="shared" si="33"/>
        <v>8785691.3343469407</v>
      </c>
      <c r="T151" s="166">
        <f t="shared" ref="T151:Y151" si="34">SUM(T141:T150)</f>
        <v>8969107.4933553729</v>
      </c>
      <c r="U151" s="166">
        <f t="shared" si="34"/>
        <v>9199308.2035847362</v>
      </c>
      <c r="V151" s="166">
        <f t="shared" si="34"/>
        <v>9436191.4152418748</v>
      </c>
      <c r="W151" s="166">
        <f t="shared" si="34"/>
        <v>9677333.8621151559</v>
      </c>
      <c r="X151" s="166">
        <f t="shared" si="34"/>
        <v>9956010.74122319</v>
      </c>
      <c r="Y151" s="358">
        <f t="shared" si="34"/>
        <v>59324835.276192404</v>
      </c>
    </row>
    <row r="152" spans="7:25">
      <c r="G152" s="170"/>
      <c r="H152" s="102"/>
      <c r="I152" s="175"/>
      <c r="J152" s="121"/>
      <c r="K152" s="184"/>
      <c r="L152" s="184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364"/>
    </row>
    <row r="153" spans="7:25" ht="15.75">
      <c r="G153" s="89"/>
      <c r="H153" s="102"/>
      <c r="I153" s="175"/>
      <c r="J153" s="121"/>
      <c r="K153" s="184"/>
      <c r="L153" s="184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364"/>
    </row>
    <row r="154" spans="7:25">
      <c r="G154" s="185" t="s">
        <v>8</v>
      </c>
      <c r="H154" s="102"/>
      <c r="I154" s="175"/>
      <c r="J154" s="165"/>
      <c r="K154" s="176"/>
      <c r="L154" s="176"/>
    </row>
    <row r="155" spans="7:25" ht="6.75" customHeight="1">
      <c r="G155" s="89"/>
      <c r="H155" s="102"/>
      <c r="I155" s="175"/>
      <c r="J155" s="121"/>
      <c r="K155" s="184"/>
      <c r="L155" s="184"/>
      <c r="M155" s="184"/>
    </row>
    <row r="156" spans="7:25">
      <c r="G156" s="103" t="s">
        <v>74</v>
      </c>
      <c r="H156" s="102"/>
      <c r="I156" s="175"/>
      <c r="J156" s="165"/>
      <c r="K156" s="174">
        <f t="shared" ref="K156:M164" si="35">K127*VLOOKUP($G$154,$G$26:$AZ$37,K$5,FALSE)</f>
        <v>0</v>
      </c>
      <c r="L156" s="174">
        <f t="shared" si="35"/>
        <v>0</v>
      </c>
      <c r="M156" s="174">
        <f t="shared" si="35"/>
        <v>0</v>
      </c>
      <c r="N156" s="164">
        <f t="shared" ref="N156:Y156" si="36">N13*N48</f>
        <v>1900183.664924952</v>
      </c>
      <c r="O156" s="164">
        <f t="shared" si="36"/>
        <v>2065288.2848964995</v>
      </c>
      <c r="P156" s="164">
        <f t="shared" si="36"/>
        <v>2196330.6679571304</v>
      </c>
      <c r="Q156" s="164">
        <f t="shared" si="36"/>
        <v>2254098.7465538038</v>
      </c>
      <c r="R156" s="164">
        <f t="shared" si="36"/>
        <v>2301434.8202314335</v>
      </c>
      <c r="S156" s="164">
        <f t="shared" si="36"/>
        <v>2349764.9514562935</v>
      </c>
      <c r="T156" s="164">
        <f t="shared" si="36"/>
        <v>2408509.0752427005</v>
      </c>
      <c r="U156" s="164">
        <f t="shared" si="36"/>
        <v>2468721.8021237678</v>
      </c>
      <c r="V156" s="164">
        <f t="shared" si="36"/>
        <v>2530439.8471768619</v>
      </c>
      <c r="W156" s="164">
        <f t="shared" si="36"/>
        <v>2593700.8433562834</v>
      </c>
      <c r="X156" s="164">
        <f t="shared" si="36"/>
        <v>2658543.3644401897</v>
      </c>
      <c r="Y156" s="363">
        <f t="shared" si="36"/>
        <v>15799170.706453912</v>
      </c>
    </row>
    <row r="157" spans="7:25">
      <c r="G157" s="103" t="s">
        <v>122</v>
      </c>
      <c r="H157" s="102"/>
      <c r="I157" s="175"/>
      <c r="J157" s="165"/>
      <c r="K157" s="174">
        <f t="shared" si="35"/>
        <v>0</v>
      </c>
      <c r="L157" s="174">
        <f t="shared" si="35"/>
        <v>0</v>
      </c>
      <c r="M157" s="174">
        <f t="shared" si="35"/>
        <v>0</v>
      </c>
      <c r="N157" s="164">
        <f t="shared" ref="N157:Y157" si="37">N14*N56</f>
        <v>26569.496548207437</v>
      </c>
      <c r="O157" s="164">
        <f t="shared" si="37"/>
        <v>20172.291622151053</v>
      </c>
      <c r="P157" s="164">
        <f t="shared" si="37"/>
        <v>30436.397638320599</v>
      </c>
      <c r="Q157" s="164">
        <f t="shared" si="37"/>
        <v>36731.269359635757</v>
      </c>
      <c r="R157" s="164">
        <f t="shared" si="37"/>
        <v>37730.825598686235</v>
      </c>
      <c r="S157" s="164">
        <f t="shared" si="37"/>
        <v>38594.893355700588</v>
      </c>
      <c r="T157" s="164">
        <f t="shared" si="37"/>
        <v>42810.162966397569</v>
      </c>
      <c r="U157" s="164">
        <f t="shared" si="37"/>
        <v>43468.179416052451</v>
      </c>
      <c r="V157" s="164">
        <f t="shared" si="37"/>
        <v>44334.398415491502</v>
      </c>
      <c r="W157" s="164">
        <f t="shared" si="37"/>
        <v>44995.297685409896</v>
      </c>
      <c r="X157" s="164">
        <f t="shared" si="37"/>
        <v>45801.720690994669</v>
      </c>
      <c r="Y157" s="363">
        <f t="shared" si="37"/>
        <v>278165.22498682165</v>
      </c>
    </row>
    <row r="158" spans="7:25">
      <c r="G158" s="103" t="s">
        <v>121</v>
      </c>
      <c r="H158" s="102"/>
      <c r="I158" s="175"/>
      <c r="J158" s="165"/>
      <c r="K158" s="174">
        <f t="shared" si="35"/>
        <v>0</v>
      </c>
      <c r="L158" s="174">
        <f t="shared" si="35"/>
        <v>0</v>
      </c>
      <c r="M158" s="174">
        <f t="shared" si="35"/>
        <v>0</v>
      </c>
      <c r="N158" s="164">
        <f t="shared" ref="N158:Y158" si="38">N15*N63</f>
        <v>37649.762053670223</v>
      </c>
      <c r="O158" s="164">
        <f t="shared" si="38"/>
        <v>57974.425064011564</v>
      </c>
      <c r="P158" s="164">
        <f t="shared" si="38"/>
        <v>47689.267772362669</v>
      </c>
      <c r="Q158" s="164">
        <f t="shared" si="38"/>
        <v>47375.558188762494</v>
      </c>
      <c r="R158" s="164">
        <f t="shared" si="38"/>
        <v>47848.700701831098</v>
      </c>
      <c r="S158" s="164">
        <f t="shared" si="38"/>
        <v>48316.126881407305</v>
      </c>
      <c r="T158" s="164">
        <f t="shared" si="38"/>
        <v>49216.519813877407</v>
      </c>
      <c r="U158" s="164">
        <f t="shared" si="38"/>
        <v>50130.197262472277</v>
      </c>
      <c r="V158" s="164">
        <f t="shared" si="38"/>
        <v>51057.21458087951</v>
      </c>
      <c r="W158" s="164">
        <f t="shared" si="38"/>
        <v>51997.620203852275</v>
      </c>
      <c r="X158" s="164">
        <f t="shared" si="38"/>
        <v>52951.455225152895</v>
      </c>
      <c r="Y158" s="363">
        <f t="shared" si="38"/>
        <v>312612.62754105416</v>
      </c>
    </row>
    <row r="159" spans="7:25">
      <c r="G159" s="103" t="s">
        <v>120</v>
      </c>
      <c r="H159" s="102"/>
      <c r="I159" s="175"/>
      <c r="J159" s="165"/>
      <c r="K159" s="174">
        <f t="shared" si="35"/>
        <v>0</v>
      </c>
      <c r="L159" s="174">
        <f t="shared" si="35"/>
        <v>0</v>
      </c>
      <c r="M159" s="174">
        <f t="shared" si="35"/>
        <v>0</v>
      </c>
      <c r="N159" s="164">
        <f t="shared" ref="N159:Y159" si="39">N16*N70</f>
        <v>806523.45403194195</v>
      </c>
      <c r="O159" s="164">
        <f t="shared" si="39"/>
        <v>930206.08465195866</v>
      </c>
      <c r="P159" s="164">
        <f t="shared" si="39"/>
        <v>1015393.8035396787</v>
      </c>
      <c r="Q159" s="164">
        <f t="shared" si="39"/>
        <v>1050076.178964606</v>
      </c>
      <c r="R159" s="164">
        <f t="shared" si="39"/>
        <v>1072127.7787228629</v>
      </c>
      <c r="S159" s="164">
        <f t="shared" si="39"/>
        <v>1094642.4620760425</v>
      </c>
      <c r="T159" s="164">
        <f t="shared" si="39"/>
        <v>1122008.5236279436</v>
      </c>
      <c r="U159" s="164">
        <f t="shared" si="39"/>
        <v>1150058.7367186423</v>
      </c>
      <c r="V159" s="164">
        <f t="shared" si="39"/>
        <v>1178810.2051366081</v>
      </c>
      <c r="W159" s="164">
        <f t="shared" si="39"/>
        <v>1208280.4602650229</v>
      </c>
      <c r="X159" s="164">
        <f t="shared" si="39"/>
        <v>1238487.4717716486</v>
      </c>
      <c r="Y159" s="363">
        <f t="shared" si="39"/>
        <v>7360073.6576456204</v>
      </c>
    </row>
    <row r="160" spans="7:25">
      <c r="G160" s="103" t="s">
        <v>119</v>
      </c>
      <c r="H160" s="102"/>
      <c r="I160" s="175"/>
      <c r="J160" s="165"/>
      <c r="K160" s="174">
        <f t="shared" si="35"/>
        <v>0</v>
      </c>
      <c r="L160" s="174">
        <f t="shared" si="35"/>
        <v>0</v>
      </c>
      <c r="M160" s="174">
        <f t="shared" si="35"/>
        <v>0</v>
      </c>
      <c r="N160" s="164">
        <f t="shared" ref="N160:Y160" si="40">N17*N77</f>
        <v>131829.82125758132</v>
      </c>
      <c r="O160" s="164">
        <f t="shared" si="40"/>
        <v>129320.99110783859</v>
      </c>
      <c r="P160" s="164">
        <f t="shared" si="40"/>
        <v>226873.2922723378</v>
      </c>
      <c r="Q160" s="164">
        <f t="shared" si="40"/>
        <v>219445.22679067028</v>
      </c>
      <c r="R160" s="164">
        <f t="shared" si="40"/>
        <v>224053.57655327432</v>
      </c>
      <c r="S160" s="164">
        <f t="shared" si="40"/>
        <v>228758.70166089307</v>
      </c>
      <c r="T160" s="164">
        <f t="shared" si="40"/>
        <v>303115.32375990582</v>
      </c>
      <c r="U160" s="164">
        <f t="shared" si="40"/>
        <v>310693.20685390336</v>
      </c>
      <c r="V160" s="164">
        <f t="shared" si="40"/>
        <v>318460.53702525096</v>
      </c>
      <c r="W160" s="164">
        <f t="shared" si="40"/>
        <v>326422.05045088229</v>
      </c>
      <c r="X160" s="164">
        <f t="shared" si="40"/>
        <v>334582.60171215417</v>
      </c>
      <c r="Y160" s="363">
        <f t="shared" si="40"/>
        <v>1988354.8677690676</v>
      </c>
    </row>
    <row r="161" spans="7:25">
      <c r="G161" s="103" t="s">
        <v>118</v>
      </c>
      <c r="H161" s="102"/>
      <c r="I161" s="175"/>
      <c r="J161" s="165"/>
      <c r="K161" s="174">
        <f t="shared" si="35"/>
        <v>0</v>
      </c>
      <c r="L161" s="174">
        <f t="shared" si="35"/>
        <v>0</v>
      </c>
      <c r="M161" s="174">
        <f t="shared" si="35"/>
        <v>0</v>
      </c>
      <c r="N161" s="164">
        <f t="shared" ref="N161:Y161" si="41">N18*N84</f>
        <v>407483.68878426391</v>
      </c>
      <c r="O161" s="164">
        <f t="shared" si="41"/>
        <v>455431.43923691311</v>
      </c>
      <c r="P161" s="164">
        <f t="shared" si="41"/>
        <v>513322.28655349818</v>
      </c>
      <c r="Q161" s="164">
        <f t="shared" si="41"/>
        <v>528797.26813940587</v>
      </c>
      <c r="R161" s="164">
        <f t="shared" si="41"/>
        <v>539902.01077033323</v>
      </c>
      <c r="S161" s="164">
        <f t="shared" si="41"/>
        <v>551239.9529965102</v>
      </c>
      <c r="T161" s="164">
        <f t="shared" si="41"/>
        <v>565020.9518214229</v>
      </c>
      <c r="U161" s="164">
        <f t="shared" si="41"/>
        <v>579146.47561695846</v>
      </c>
      <c r="V161" s="164">
        <f t="shared" si="41"/>
        <v>593625.13750738231</v>
      </c>
      <c r="W161" s="164">
        <f t="shared" si="41"/>
        <v>608465.76594506681</v>
      </c>
      <c r="X161" s="164">
        <f t="shared" si="41"/>
        <v>623677.41009369341</v>
      </c>
      <c r="Y161" s="363">
        <f t="shared" si="41"/>
        <v>3706385.2332174387</v>
      </c>
    </row>
    <row r="162" spans="7:25">
      <c r="G162" s="103" t="s">
        <v>117</v>
      </c>
      <c r="H162" s="102"/>
      <c r="I162" s="175"/>
      <c r="J162" s="165"/>
      <c r="K162" s="174">
        <f t="shared" si="35"/>
        <v>0</v>
      </c>
      <c r="L162" s="174">
        <f t="shared" si="35"/>
        <v>0</v>
      </c>
      <c r="M162" s="174">
        <f t="shared" si="35"/>
        <v>0</v>
      </c>
      <c r="N162" s="164">
        <f t="shared" ref="N162:Y162" si="42">N19*N91</f>
        <v>533981.22158078966</v>
      </c>
      <c r="O162" s="164">
        <f t="shared" si="42"/>
        <v>674165.60693271342</v>
      </c>
      <c r="P162" s="164">
        <f t="shared" si="42"/>
        <v>728011.39879281831</v>
      </c>
      <c r="Q162" s="164">
        <f t="shared" si="42"/>
        <v>749851.74075660296</v>
      </c>
      <c r="R162" s="164">
        <f t="shared" si="42"/>
        <v>765598.62731249165</v>
      </c>
      <c r="S162" s="164">
        <f t="shared" si="42"/>
        <v>781676.19848605408</v>
      </c>
      <c r="T162" s="164">
        <f t="shared" si="42"/>
        <v>801218.10344820516</v>
      </c>
      <c r="U162" s="164">
        <f t="shared" si="42"/>
        <v>821248.55603441014</v>
      </c>
      <c r="V162" s="164">
        <f t="shared" si="42"/>
        <v>841779.76993527042</v>
      </c>
      <c r="W162" s="164">
        <f t="shared" si="42"/>
        <v>862824.26418365212</v>
      </c>
      <c r="X162" s="164">
        <f t="shared" si="42"/>
        <v>884394.87078824337</v>
      </c>
      <c r="Y162" s="363">
        <f t="shared" si="42"/>
        <v>5255774.9188484456</v>
      </c>
    </row>
    <row r="163" spans="7:25">
      <c r="G163" s="103" t="s">
        <v>116</v>
      </c>
      <c r="H163" s="102"/>
      <c r="I163" s="175"/>
      <c r="J163" s="165"/>
      <c r="K163" s="174">
        <f t="shared" si="35"/>
        <v>0</v>
      </c>
      <c r="L163" s="174">
        <f t="shared" si="35"/>
        <v>0</v>
      </c>
      <c r="M163" s="174">
        <f t="shared" si="35"/>
        <v>0</v>
      </c>
      <c r="N163" s="164">
        <f t="shared" ref="N163:Y163" si="43">N20*N98</f>
        <v>104798.55497830072</v>
      </c>
      <c r="O163" s="164">
        <f t="shared" si="43"/>
        <v>116976.37735782856</v>
      </c>
      <c r="P163" s="164">
        <f t="shared" si="43"/>
        <v>123578.69614967261</v>
      </c>
      <c r="Q163" s="164">
        <f t="shared" si="43"/>
        <v>103863.15289030818</v>
      </c>
      <c r="R163" s="164">
        <f t="shared" si="43"/>
        <v>106304.02677384441</v>
      </c>
      <c r="S163" s="164">
        <f t="shared" si="43"/>
        <v>108796.16334128448</v>
      </c>
      <c r="T163" s="164">
        <f t="shared" si="43"/>
        <v>111776.84141695908</v>
      </c>
      <c r="U163" s="164">
        <f t="shared" si="43"/>
        <v>114833.06245238469</v>
      </c>
      <c r="V163" s="164">
        <f t="shared" si="43"/>
        <v>117966.71905828084</v>
      </c>
      <c r="W163" s="164">
        <f t="shared" si="43"/>
        <v>121179.75117651667</v>
      </c>
      <c r="X163" s="164">
        <f t="shared" si="43"/>
        <v>124474.1472634524</v>
      </c>
      <c r="Y163" s="363">
        <f t="shared" si="43"/>
        <v>741265.89410201239</v>
      </c>
    </row>
    <row r="164" spans="7:25">
      <c r="G164" s="103" t="s">
        <v>115</v>
      </c>
      <c r="H164" s="102"/>
      <c r="I164" s="175"/>
      <c r="J164" s="165"/>
      <c r="K164" s="174">
        <f t="shared" si="35"/>
        <v>0</v>
      </c>
      <c r="L164" s="174">
        <f t="shared" si="35"/>
        <v>0</v>
      </c>
      <c r="M164" s="174">
        <f t="shared" si="35"/>
        <v>0</v>
      </c>
      <c r="N164" s="164">
        <f t="shared" ref="N164:Y164" si="44">N21*N105</f>
        <v>854131.09555914556</v>
      </c>
      <c r="O164" s="164">
        <f t="shared" si="44"/>
        <v>770933.95029102522</v>
      </c>
      <c r="P164" s="164">
        <f t="shared" si="44"/>
        <v>725223.49697413319</v>
      </c>
      <c r="Q164" s="164">
        <f t="shared" si="44"/>
        <v>730054.03752714139</v>
      </c>
      <c r="R164" s="164">
        <f t="shared" si="44"/>
        <v>745385.17231521138</v>
      </c>
      <c r="S164" s="164">
        <f t="shared" si="44"/>
        <v>761038.26093383064</v>
      </c>
      <c r="T164" s="164">
        <f t="shared" si="44"/>
        <v>780064.2174571763</v>
      </c>
      <c r="U164" s="164">
        <f t="shared" si="44"/>
        <v>799565.82289360557</v>
      </c>
      <c r="V164" s="164">
        <f t="shared" si="44"/>
        <v>819554.96846594568</v>
      </c>
      <c r="W164" s="164">
        <f t="shared" si="44"/>
        <v>840043.84267759405</v>
      </c>
      <c r="X164" s="164">
        <f t="shared" si="44"/>
        <v>861044.93874453392</v>
      </c>
      <c r="Y164" s="363">
        <f t="shared" si="44"/>
        <v>5117011.1253827903</v>
      </c>
    </row>
    <row r="165" spans="7:25">
      <c r="G165" s="103" t="s">
        <v>128</v>
      </c>
      <c r="H165" s="102"/>
      <c r="I165" s="175"/>
      <c r="J165" s="165"/>
      <c r="K165" s="174"/>
      <c r="L165" s="174"/>
      <c r="M165" s="17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363"/>
    </row>
    <row r="166" spans="7:25">
      <c r="G166" s="169" t="s">
        <v>114</v>
      </c>
      <c r="H166" s="168"/>
      <c r="I166" s="178"/>
      <c r="J166" s="167"/>
      <c r="K166" s="177">
        <f t="shared" ref="K166:S166" si="45">SUM(K156:K165)</f>
        <v>0</v>
      </c>
      <c r="L166" s="177">
        <f t="shared" si="45"/>
        <v>0</v>
      </c>
      <c r="M166" s="177">
        <f t="shared" si="45"/>
        <v>0</v>
      </c>
      <c r="N166" s="166">
        <f t="shared" si="45"/>
        <v>4803150.759718853</v>
      </c>
      <c r="O166" s="166">
        <f t="shared" si="45"/>
        <v>5220469.4511609403</v>
      </c>
      <c r="P166" s="166">
        <f t="shared" si="45"/>
        <v>5606859.3076499514</v>
      </c>
      <c r="Q166" s="166">
        <f t="shared" si="45"/>
        <v>5720293.1791709363</v>
      </c>
      <c r="R166" s="166">
        <f t="shared" si="45"/>
        <v>5840385.538979969</v>
      </c>
      <c r="S166" s="166">
        <f t="shared" si="45"/>
        <v>5962827.7111880165</v>
      </c>
      <c r="T166" s="166">
        <f t="shared" ref="T166:Y166" si="46">SUM(T156:T165)</f>
        <v>6183739.7195545891</v>
      </c>
      <c r="U166" s="166">
        <f t="shared" si="46"/>
        <v>6337866.0393721974</v>
      </c>
      <c r="V166" s="166">
        <f t="shared" si="46"/>
        <v>6496028.7973019714</v>
      </c>
      <c r="W166" s="166">
        <f t="shared" si="46"/>
        <v>6657909.8959442805</v>
      </c>
      <c r="X166" s="166">
        <f t="shared" si="46"/>
        <v>6823957.9807300624</v>
      </c>
      <c r="Y166" s="358">
        <f t="shared" si="46"/>
        <v>40558814.255947165</v>
      </c>
    </row>
    <row r="167" spans="7:25">
      <c r="G167" s="170"/>
      <c r="H167" s="102"/>
      <c r="I167" s="175"/>
      <c r="J167" s="165"/>
      <c r="K167" s="174"/>
      <c r="L167" s="17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363"/>
    </row>
    <row r="168" spans="7:25" ht="11.25" customHeight="1">
      <c r="G168" s="89"/>
      <c r="H168" s="102"/>
      <c r="I168" s="175"/>
      <c r="J168" s="165"/>
      <c r="K168" s="176"/>
      <c r="L168" s="176"/>
    </row>
    <row r="169" spans="7:25">
      <c r="G169" s="185" t="s">
        <v>7</v>
      </c>
      <c r="H169" s="102"/>
      <c r="I169" s="175"/>
      <c r="J169" s="165"/>
      <c r="K169" s="176"/>
      <c r="L169" s="176"/>
    </row>
    <row r="170" spans="7:25" ht="12.75" customHeight="1">
      <c r="G170" s="89"/>
      <c r="H170" s="102"/>
      <c r="I170" s="175"/>
      <c r="J170" s="121"/>
      <c r="K170" s="184"/>
      <c r="L170" s="184"/>
      <c r="M170" s="184"/>
    </row>
    <row r="171" spans="7:25">
      <c r="G171" s="103" t="s">
        <v>74</v>
      </c>
      <c r="H171" s="102"/>
      <c r="I171" s="175"/>
      <c r="J171" s="165"/>
      <c r="K171" s="174">
        <f t="shared" ref="K171:M179" si="47">K127*VLOOKUP($G$169,$G$26:$AZ$37,K$5,FALSE)</f>
        <v>0</v>
      </c>
      <c r="L171" s="174">
        <f t="shared" si="47"/>
        <v>0</v>
      </c>
      <c r="M171" s="174">
        <f t="shared" si="47"/>
        <v>0</v>
      </c>
      <c r="N171" s="164">
        <f t="shared" ref="N171:Y171" si="48">N13*N49</f>
        <v>913566.79930331488</v>
      </c>
      <c r="O171" s="164">
        <f t="shared" si="48"/>
        <v>992945.49411151058</v>
      </c>
      <c r="P171" s="164">
        <f t="shared" si="48"/>
        <v>1055947.8094537528</v>
      </c>
      <c r="Q171" s="164">
        <f t="shared" si="48"/>
        <v>1083721.4397820346</v>
      </c>
      <c r="R171" s="164">
        <f t="shared" si="48"/>
        <v>1106479.590017457</v>
      </c>
      <c r="S171" s="164">
        <f t="shared" si="48"/>
        <v>1129715.6614078239</v>
      </c>
      <c r="T171" s="164">
        <f t="shared" si="48"/>
        <v>1157958.5529430194</v>
      </c>
      <c r="U171" s="164">
        <f t="shared" si="48"/>
        <v>1186907.5167665947</v>
      </c>
      <c r="V171" s="164">
        <f t="shared" si="48"/>
        <v>1216580.2046857595</v>
      </c>
      <c r="W171" s="164">
        <f t="shared" si="48"/>
        <v>1246994.7098029035</v>
      </c>
      <c r="X171" s="164">
        <f t="shared" si="48"/>
        <v>1278169.5775479758</v>
      </c>
      <c r="Y171" s="363">
        <f t="shared" si="48"/>
        <v>7595896.1653908603</v>
      </c>
    </row>
    <row r="172" spans="7:25">
      <c r="G172" s="103" t="s">
        <v>122</v>
      </c>
      <c r="H172" s="102"/>
      <c r="I172" s="175"/>
      <c r="J172" s="165"/>
      <c r="K172" s="174">
        <f t="shared" si="47"/>
        <v>0</v>
      </c>
      <c r="L172" s="174">
        <f t="shared" si="47"/>
        <v>0</v>
      </c>
      <c r="M172" s="174">
        <f t="shared" si="47"/>
        <v>0</v>
      </c>
      <c r="N172" s="164">
        <f t="shared" ref="N172:Y172" si="49">N14*N57</f>
        <v>16359.166973731621</v>
      </c>
      <c r="O172" s="164">
        <f t="shared" si="49"/>
        <v>5063.9293218252033</v>
      </c>
      <c r="P172" s="164">
        <f t="shared" si="49"/>
        <v>5551.0453960669947</v>
      </c>
      <c r="Q172" s="164">
        <f t="shared" si="49"/>
        <v>5749.6161761320836</v>
      </c>
      <c r="R172" s="164">
        <f t="shared" si="49"/>
        <v>5918.3798815288765</v>
      </c>
      <c r="S172" s="164">
        <f t="shared" si="49"/>
        <v>6126.8395732532272</v>
      </c>
      <c r="T172" s="164">
        <f t="shared" si="49"/>
        <v>9970.7563591043163</v>
      </c>
      <c r="U172" s="164">
        <f t="shared" si="49"/>
        <v>10270.641874978073</v>
      </c>
      <c r="V172" s="164">
        <f t="shared" si="49"/>
        <v>10540.736968820913</v>
      </c>
      <c r="W172" s="164">
        <f t="shared" si="49"/>
        <v>10759.505315966642</v>
      </c>
      <c r="X172" s="164">
        <f t="shared" si="49"/>
        <v>10994.042312607562</v>
      </c>
      <c r="Y172" s="363">
        <f t="shared" si="49"/>
        <v>66769.549424425917</v>
      </c>
    </row>
    <row r="173" spans="7:25">
      <c r="G173" s="103" t="s">
        <v>121</v>
      </c>
      <c r="H173" s="102"/>
      <c r="I173" s="175"/>
      <c r="J173" s="165"/>
      <c r="K173" s="174">
        <f t="shared" si="47"/>
        <v>0</v>
      </c>
      <c r="L173" s="174">
        <f t="shared" si="47"/>
        <v>0</v>
      </c>
      <c r="M173" s="174">
        <f t="shared" si="47"/>
        <v>0</v>
      </c>
      <c r="N173" s="164">
        <f t="shared" ref="N173:Y173" si="50">N15*N64</f>
        <v>4452.4684715105668</v>
      </c>
      <c r="O173" s="164">
        <f t="shared" si="50"/>
        <v>6856.0672278219672</v>
      </c>
      <c r="P173" s="164">
        <f t="shared" si="50"/>
        <v>5639.7424473276496</v>
      </c>
      <c r="Q173" s="164">
        <f t="shared" si="50"/>
        <v>5602.6430885535001</v>
      </c>
      <c r="R173" s="164">
        <f t="shared" si="50"/>
        <v>5658.5970177965628</v>
      </c>
      <c r="S173" s="164">
        <f t="shared" si="50"/>
        <v>5713.8749322852364</v>
      </c>
      <c r="T173" s="164">
        <f t="shared" si="50"/>
        <v>5820.3555824970281</v>
      </c>
      <c r="U173" s="164">
        <f t="shared" si="50"/>
        <v>5928.4072622712538</v>
      </c>
      <c r="V173" s="164">
        <f t="shared" si="50"/>
        <v>6038.0365177461917</v>
      </c>
      <c r="W173" s="164">
        <f t="shared" si="50"/>
        <v>6149.2490768255475</v>
      </c>
      <c r="X173" s="164">
        <f t="shared" si="50"/>
        <v>6262.0497992659584</v>
      </c>
      <c r="Y173" s="363">
        <f t="shared" si="50"/>
        <v>36969.63252884445</v>
      </c>
    </row>
    <row r="174" spans="7:25">
      <c r="G174" s="103" t="s">
        <v>120</v>
      </c>
      <c r="H174" s="102"/>
      <c r="I174" s="175"/>
      <c r="J174" s="165"/>
      <c r="K174" s="174">
        <f t="shared" si="47"/>
        <v>0</v>
      </c>
      <c r="L174" s="174">
        <f t="shared" si="47"/>
        <v>0</v>
      </c>
      <c r="M174" s="174">
        <f t="shared" si="47"/>
        <v>0</v>
      </c>
      <c r="N174" s="164">
        <f t="shared" ref="N174:Y174" si="51">N16*N71</f>
        <v>111935.26495050493</v>
      </c>
      <c r="O174" s="164">
        <f t="shared" si="51"/>
        <v>130880.45447181362</v>
      </c>
      <c r="P174" s="164">
        <f t="shared" si="51"/>
        <v>141789.54858034232</v>
      </c>
      <c r="Q174" s="164">
        <f t="shared" si="51"/>
        <v>146632.59404511823</v>
      </c>
      <c r="R174" s="164">
        <f t="shared" si="51"/>
        <v>149711.87852006571</v>
      </c>
      <c r="S174" s="164">
        <f t="shared" si="51"/>
        <v>152855.82796898705</v>
      </c>
      <c r="T174" s="164">
        <f t="shared" si="51"/>
        <v>156677.22366821169</v>
      </c>
      <c r="U174" s="164">
        <f t="shared" si="51"/>
        <v>160594.15425991701</v>
      </c>
      <c r="V174" s="164">
        <f t="shared" si="51"/>
        <v>164609.00811641492</v>
      </c>
      <c r="W174" s="164">
        <f t="shared" si="51"/>
        <v>168724.23331932526</v>
      </c>
      <c r="X174" s="164">
        <f t="shared" si="51"/>
        <v>172942.33915230838</v>
      </c>
      <c r="Y174" s="363">
        <f t="shared" si="51"/>
        <v>1027760.3800591455</v>
      </c>
    </row>
    <row r="175" spans="7:25">
      <c r="G175" s="103" t="s">
        <v>119</v>
      </c>
      <c r="H175" s="102"/>
      <c r="I175" s="175"/>
      <c r="J175" s="165"/>
      <c r="K175" s="174">
        <f t="shared" si="47"/>
        <v>0</v>
      </c>
      <c r="L175" s="174">
        <f t="shared" si="47"/>
        <v>0</v>
      </c>
      <c r="M175" s="174">
        <f t="shared" si="47"/>
        <v>0</v>
      </c>
      <c r="N175" s="164">
        <f t="shared" ref="N175:Y175" si="52">N17*N78</f>
        <v>14107.625847939004</v>
      </c>
      <c r="O175" s="164">
        <f t="shared" si="52"/>
        <v>13839.146100860806</v>
      </c>
      <c r="P175" s="164">
        <f t="shared" si="52"/>
        <v>24278.600181172504</v>
      </c>
      <c r="Q175" s="164">
        <f t="shared" si="52"/>
        <v>23483.693781469487</v>
      </c>
      <c r="R175" s="164">
        <f t="shared" si="52"/>
        <v>23976.851350880344</v>
      </c>
      <c r="S175" s="164">
        <f t="shared" si="52"/>
        <v>24480.365229248826</v>
      </c>
      <c r="T175" s="164">
        <f t="shared" si="52"/>
        <v>35846.479463769516</v>
      </c>
      <c r="U175" s="164">
        <f t="shared" si="52"/>
        <v>36742.64145036375</v>
      </c>
      <c r="V175" s="164">
        <f t="shared" si="52"/>
        <v>37661.20748662285</v>
      </c>
      <c r="W175" s="164">
        <f t="shared" si="52"/>
        <v>38602.737673788419</v>
      </c>
      <c r="X175" s="164">
        <f t="shared" si="52"/>
        <v>39567.806115633117</v>
      </c>
      <c r="Y175" s="363">
        <f t="shared" si="52"/>
        <v>235143.24861591813</v>
      </c>
    </row>
    <row r="176" spans="7:25">
      <c r="G176" s="103" t="s">
        <v>118</v>
      </c>
      <c r="H176" s="102"/>
      <c r="I176" s="175"/>
      <c r="J176" s="165"/>
      <c r="K176" s="174">
        <f t="shared" si="47"/>
        <v>0</v>
      </c>
      <c r="L176" s="174">
        <f t="shared" si="47"/>
        <v>0</v>
      </c>
      <c r="M176" s="174">
        <f t="shared" si="47"/>
        <v>0</v>
      </c>
      <c r="N176" s="164">
        <f t="shared" ref="N176:Y176" si="53">N18*N85</f>
        <v>48189.103410014643</v>
      </c>
      <c r="O176" s="164">
        <f t="shared" si="53"/>
        <v>53859.414071366242</v>
      </c>
      <c r="P176" s="164">
        <f t="shared" si="53"/>
        <v>60705.59737788199</v>
      </c>
      <c r="Q176" s="164">
        <f t="shared" si="53"/>
        <v>62535.671828558196</v>
      </c>
      <c r="R176" s="164">
        <f t="shared" si="53"/>
        <v>63848.920936957911</v>
      </c>
      <c r="S176" s="164">
        <f t="shared" si="53"/>
        <v>65189.748276634018</v>
      </c>
      <c r="T176" s="164">
        <f t="shared" si="53"/>
        <v>66819.491983549859</v>
      </c>
      <c r="U176" s="164">
        <f t="shared" si="53"/>
        <v>68489.9792831386</v>
      </c>
      <c r="V176" s="164">
        <f t="shared" si="53"/>
        <v>70202.228765217063</v>
      </c>
      <c r="W176" s="164">
        <f t="shared" si="53"/>
        <v>71957.284484347474</v>
      </c>
      <c r="X176" s="164">
        <f t="shared" si="53"/>
        <v>73756.216596456157</v>
      </c>
      <c r="Y176" s="363">
        <f t="shared" si="53"/>
        <v>438317.86694025772</v>
      </c>
    </row>
    <row r="177" spans="6:25">
      <c r="G177" s="103" t="s">
        <v>117</v>
      </c>
      <c r="H177" s="102"/>
      <c r="I177" s="175"/>
      <c r="J177" s="165"/>
      <c r="K177" s="174">
        <f t="shared" si="47"/>
        <v>0</v>
      </c>
      <c r="L177" s="174">
        <f t="shared" si="47"/>
        <v>0</v>
      </c>
      <c r="M177" s="174">
        <f t="shared" si="47"/>
        <v>0</v>
      </c>
      <c r="N177" s="164">
        <f t="shared" ref="N177:Y177" si="54">N19*N92</f>
        <v>63326.88654941343</v>
      </c>
      <c r="O177" s="164">
        <f t="shared" si="54"/>
        <v>79951.891902410469</v>
      </c>
      <c r="P177" s="164">
        <f t="shared" si="54"/>
        <v>86337.671428877002</v>
      </c>
      <c r="Q177" s="164">
        <f t="shared" si="54"/>
        <v>88927.80157174333</v>
      </c>
      <c r="R177" s="164">
        <f t="shared" si="54"/>
        <v>90795.285404749928</v>
      </c>
      <c r="S177" s="164">
        <f t="shared" si="54"/>
        <v>92701.98639824969</v>
      </c>
      <c r="T177" s="164">
        <f t="shared" si="54"/>
        <v>95019.536058205922</v>
      </c>
      <c r="U177" s="164">
        <f t="shared" si="54"/>
        <v>97395.024459661043</v>
      </c>
      <c r="V177" s="164">
        <f t="shared" si="54"/>
        <v>99829.900071152573</v>
      </c>
      <c r="W177" s="164">
        <f t="shared" si="54"/>
        <v>102325.64757293137</v>
      </c>
      <c r="X177" s="164">
        <f t="shared" si="54"/>
        <v>104883.78876225466</v>
      </c>
      <c r="Y177" s="363">
        <f t="shared" si="54"/>
        <v>623302.5592732603</v>
      </c>
    </row>
    <row r="178" spans="6:25">
      <c r="G178" s="103" t="s">
        <v>116</v>
      </c>
      <c r="H178" s="102"/>
      <c r="I178" s="175"/>
      <c r="J178" s="165"/>
      <c r="K178" s="174">
        <f t="shared" si="47"/>
        <v>0</v>
      </c>
      <c r="L178" s="174">
        <f t="shared" si="47"/>
        <v>0</v>
      </c>
      <c r="M178" s="174">
        <f t="shared" si="47"/>
        <v>0</v>
      </c>
      <c r="N178" s="164">
        <f t="shared" ref="N178:Y178" si="55">N20*N99</f>
        <v>16240.202613328183</v>
      </c>
      <c r="O178" s="164">
        <f t="shared" si="55"/>
        <v>18127.349844257122</v>
      </c>
      <c r="P178" s="164">
        <f t="shared" si="55"/>
        <v>19150.484131934398</v>
      </c>
      <c r="Q178" s="164">
        <f t="shared" si="55"/>
        <v>16095.247184915315</v>
      </c>
      <c r="R178" s="164">
        <f t="shared" si="55"/>
        <v>16473.499408244323</v>
      </c>
      <c r="S178" s="164">
        <f t="shared" si="55"/>
        <v>16859.695599629704</v>
      </c>
      <c r="T178" s="164">
        <f t="shared" si="55"/>
        <v>17321.599066562845</v>
      </c>
      <c r="U178" s="164">
        <f t="shared" si="55"/>
        <v>17795.209116402792</v>
      </c>
      <c r="V178" s="164">
        <f t="shared" si="55"/>
        <v>18280.819039277067</v>
      </c>
      <c r="W178" s="164">
        <f t="shared" si="55"/>
        <v>18778.729460027476</v>
      </c>
      <c r="X178" s="164">
        <f t="shared" si="55"/>
        <v>19289.24852158772</v>
      </c>
      <c r="Y178" s="363">
        <f t="shared" si="55"/>
        <v>114870.93799202832</v>
      </c>
    </row>
    <row r="179" spans="6:25">
      <c r="G179" s="103" t="s">
        <v>115</v>
      </c>
      <c r="H179" s="102"/>
      <c r="I179" s="175"/>
      <c r="J179" s="165"/>
      <c r="K179" s="174">
        <f t="shared" si="47"/>
        <v>0</v>
      </c>
      <c r="L179" s="174">
        <f t="shared" si="47"/>
        <v>0</v>
      </c>
      <c r="M179" s="174">
        <f t="shared" si="47"/>
        <v>0</v>
      </c>
      <c r="N179" s="164">
        <f t="shared" ref="N179:Y179" si="56">N21*N106</f>
        <v>303673.94381646044</v>
      </c>
      <c r="O179" s="164">
        <f t="shared" si="56"/>
        <v>281246.823037642</v>
      </c>
      <c r="P179" s="164">
        <f t="shared" si="56"/>
        <v>277969.08477485203</v>
      </c>
      <c r="Q179" s="164">
        <f t="shared" si="56"/>
        <v>277243.15679721494</v>
      </c>
      <c r="R179" s="164">
        <f t="shared" si="56"/>
        <v>283065.26308995648</v>
      </c>
      <c r="S179" s="164">
        <f t="shared" si="56"/>
        <v>289009.63361484552</v>
      </c>
      <c r="T179" s="164">
        <f t="shared" si="56"/>
        <v>296234.87445521663</v>
      </c>
      <c r="U179" s="164">
        <f t="shared" si="56"/>
        <v>303640.74631659687</v>
      </c>
      <c r="V179" s="164">
        <f t="shared" si="56"/>
        <v>311231.76497451181</v>
      </c>
      <c r="W179" s="164">
        <f t="shared" si="56"/>
        <v>319012.55909887457</v>
      </c>
      <c r="X179" s="164">
        <f t="shared" si="56"/>
        <v>326987.87307634635</v>
      </c>
      <c r="Y179" s="363">
        <f t="shared" si="56"/>
        <v>1943220.9738513397</v>
      </c>
    </row>
    <row r="180" spans="6:25">
      <c r="G180" s="103" t="s">
        <v>128</v>
      </c>
      <c r="H180" s="102"/>
      <c r="I180" s="175"/>
      <c r="J180" s="165"/>
      <c r="K180" s="174"/>
      <c r="L180" s="174"/>
      <c r="M180" s="17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363"/>
    </row>
    <row r="181" spans="6:25">
      <c r="G181" s="169" t="s">
        <v>114</v>
      </c>
      <c r="H181" s="168"/>
      <c r="I181" s="173"/>
      <c r="J181" s="172"/>
      <c r="K181" s="171">
        <f t="shared" ref="K181:S181" si="57">SUM(K171:K180)</f>
        <v>0</v>
      </c>
      <c r="L181" s="171">
        <f t="shared" si="57"/>
        <v>0</v>
      </c>
      <c r="M181" s="171">
        <f t="shared" si="57"/>
        <v>0</v>
      </c>
      <c r="N181" s="166">
        <f t="shared" si="57"/>
        <v>1491851.4619362175</v>
      </c>
      <c r="O181" s="166">
        <f t="shared" si="57"/>
        <v>1582770.5700895078</v>
      </c>
      <c r="P181" s="166">
        <f t="shared" si="57"/>
        <v>1677369.5837722076</v>
      </c>
      <c r="Q181" s="166">
        <f t="shared" si="57"/>
        <v>1709991.8642557396</v>
      </c>
      <c r="R181" s="166">
        <f t="shared" si="57"/>
        <v>1745928.2656276373</v>
      </c>
      <c r="S181" s="166">
        <f t="shared" si="57"/>
        <v>1782653.6330009568</v>
      </c>
      <c r="T181" s="166">
        <f t="shared" ref="T181:Y181" si="58">SUM(T171:T180)</f>
        <v>1841668.8695801373</v>
      </c>
      <c r="U181" s="166">
        <f t="shared" si="58"/>
        <v>1887764.3207899241</v>
      </c>
      <c r="V181" s="166">
        <f t="shared" si="58"/>
        <v>1934973.9066255232</v>
      </c>
      <c r="W181" s="166">
        <f t="shared" si="58"/>
        <v>1983304.6558049903</v>
      </c>
      <c r="X181" s="166">
        <f t="shared" si="58"/>
        <v>2032852.9418844362</v>
      </c>
      <c r="Y181" s="358">
        <f t="shared" si="58"/>
        <v>12082251.314076081</v>
      </c>
    </row>
    <row r="182" spans="6:25" ht="11.25" customHeight="1">
      <c r="G182" s="89"/>
      <c r="H182" s="102"/>
      <c r="I182" s="179"/>
      <c r="J182" s="165"/>
      <c r="K182" s="176"/>
      <c r="L182" s="176"/>
    </row>
    <row r="183" spans="6:25">
      <c r="G183" s="103"/>
      <c r="H183" s="102"/>
    </row>
    <row r="184" spans="6:25">
      <c r="G184" s="103"/>
    </row>
    <row r="185" spans="6:25">
      <c r="F185" s="151"/>
      <c r="G185" s="148" t="s">
        <v>69</v>
      </c>
      <c r="H185" s="163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359"/>
    </row>
  </sheetData>
  <pageMargins left="0.31496062992125984" right="0.31496062992125984" top="0.35433070866141736" bottom="0.35433070866141736" header="0.31496062992125984" footer="0.31496062992125984"/>
  <pageSetup paperSize="8" scale="33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0070C0"/>
  </sheetPr>
  <dimension ref="A1:BA26"/>
  <sheetViews>
    <sheetView showGridLines="0" topLeftCell="F1" zoomScale="70" zoomScaleNormal="70" zoomScaleSheetLayoutView="100" workbookViewId="0">
      <selection activeCell="M17" sqref="M17"/>
    </sheetView>
  </sheetViews>
  <sheetFormatPr defaultRowHeight="12.75" outlineLevelCol="1"/>
  <cols>
    <col min="1" max="3" width="1.5703125" hidden="1" customWidth="1" outlineLevel="1"/>
    <col min="4" max="4" width="22.85546875" hidden="1" customWidth="1" outlineLevel="1"/>
    <col min="5" max="5" width="22.5703125" hidden="1" customWidth="1" outlineLevel="1"/>
    <col min="6" max="6" width="9.140625" customWidth="1" collapsed="1"/>
    <col min="7" max="7" width="38" customWidth="1"/>
    <col min="8" max="8" width="3.85546875" customWidth="1"/>
    <col min="9" max="9" width="2.7109375" customWidth="1"/>
    <col min="10" max="10" width="2.5703125" customWidth="1"/>
    <col min="11" max="11" width="1.85546875" style="10" customWidth="1"/>
    <col min="12" max="12" width="14.7109375" style="10" customWidth="1"/>
    <col min="13" max="13" width="13.140625" style="238" bestFit="1" customWidth="1"/>
    <col min="14" max="14" width="11.140625" bestFit="1" customWidth="1"/>
    <col min="15" max="15" width="13.5703125" bestFit="1" customWidth="1"/>
    <col min="16" max="19" width="12.28515625" bestFit="1" customWidth="1"/>
    <col min="20" max="24" width="10.7109375" bestFit="1" customWidth="1"/>
    <col min="25" max="53" width="13.7109375" customWidth="1"/>
    <col min="54" max="54" width="13.28515625" customWidth="1"/>
    <col min="55" max="55" width="15.42578125" bestFit="1" customWidth="1"/>
    <col min="56" max="56" width="14.28515625" bestFit="1" customWidth="1"/>
  </cols>
  <sheetData>
    <row r="1" spans="1:53" s="100" customFormat="1" ht="1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51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</row>
    <row r="2" spans="1:53" s="100" customFormat="1" ht="21">
      <c r="A2" s="129"/>
      <c r="B2" s="129"/>
      <c r="C2" s="129"/>
      <c r="D2" s="129"/>
      <c r="E2" s="129"/>
      <c r="F2" s="129"/>
      <c r="G2" s="132" t="str">
        <f>'Volume &amp; CPI forecast'!G2</f>
        <v>Christchurch International Airport - Simplfied Pricing Model</v>
      </c>
      <c r="H2" s="129"/>
      <c r="I2" s="129"/>
      <c r="J2" s="129"/>
      <c r="K2" s="129"/>
      <c r="L2" s="129"/>
      <c r="M2" s="251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</row>
    <row r="3" spans="1:53" s="100" customFormat="1">
      <c r="A3" s="129"/>
      <c r="B3" s="129"/>
      <c r="C3" s="129"/>
      <c r="D3" s="129"/>
      <c r="E3" s="129"/>
      <c r="F3" s="129"/>
      <c r="G3" s="131"/>
      <c r="H3" s="129"/>
      <c r="I3" s="129"/>
      <c r="J3" s="129"/>
      <c r="K3" s="129"/>
      <c r="L3" s="129"/>
      <c r="M3" s="251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</row>
    <row r="4" spans="1:53" s="100" customFormat="1" ht="12">
      <c r="A4" s="129"/>
      <c r="B4" s="129"/>
      <c r="C4" s="129"/>
      <c r="D4" s="129"/>
      <c r="E4" s="129"/>
      <c r="F4" s="129"/>
      <c r="G4" s="130"/>
      <c r="H4" s="129"/>
      <c r="I4" s="129"/>
      <c r="J4" s="129"/>
      <c r="K4" s="129"/>
      <c r="L4" s="129"/>
      <c r="M4" s="251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</row>
    <row r="5" spans="1:53" s="118" customFormat="1" ht="12">
      <c r="G5" s="160"/>
      <c r="M5" s="247"/>
    </row>
    <row r="6" spans="1:53">
      <c r="K6"/>
      <c r="L6"/>
      <c r="M6" s="250"/>
    </row>
    <row r="7" spans="1:53">
      <c r="K7"/>
      <c r="L7"/>
      <c r="M7" s="250"/>
    </row>
    <row r="8" spans="1:53" s="100" customFormat="1" ht="12">
      <c r="F8" s="118"/>
      <c r="H8" s="125"/>
      <c r="K8" s="118"/>
      <c r="L8" s="118"/>
      <c r="M8" s="247"/>
    </row>
    <row r="9" spans="1:53" s="100" customFormat="1" ht="12">
      <c r="H9" s="125"/>
      <c r="K9" s="118"/>
      <c r="L9" s="118"/>
      <c r="M9" s="221"/>
      <c r="O9" s="249" t="s">
        <v>96</v>
      </c>
      <c r="P9" s="249"/>
      <c r="Q9" s="249"/>
      <c r="R9" s="249"/>
      <c r="S9" s="249"/>
      <c r="T9" s="249"/>
      <c r="U9" s="249"/>
      <c r="V9" s="249"/>
      <c r="W9" s="249"/>
      <c r="X9" s="249"/>
    </row>
    <row r="10" spans="1:53" s="100" customFormat="1" ht="21">
      <c r="G10" s="223" t="s">
        <v>95</v>
      </c>
      <c r="K10" s="222"/>
      <c r="L10" s="222"/>
      <c r="M10" s="248"/>
      <c r="N10" s="123">
        <f>'Volume &amp; CPI forecast'!N10</f>
        <v>41090</v>
      </c>
      <c r="O10" s="123">
        <f>'Volume &amp; CPI forecast'!O10</f>
        <v>41455</v>
      </c>
      <c r="P10" s="123">
        <f>'Volume &amp; CPI forecast'!P10</f>
        <v>41820</v>
      </c>
      <c r="Q10" s="123">
        <f>'Volume &amp; CPI forecast'!Q10</f>
        <v>42185</v>
      </c>
      <c r="R10" s="123">
        <f>'Volume &amp; CPI forecast'!R10</f>
        <v>42551</v>
      </c>
      <c r="S10" s="123">
        <f>'Volume &amp; CPI forecast'!S10</f>
        <v>42916</v>
      </c>
      <c r="T10" s="123">
        <f>'Volume &amp; CPI forecast'!T10</f>
        <v>43281</v>
      </c>
      <c r="U10" s="123">
        <f>'Volume &amp; CPI forecast'!U10</f>
        <v>43646</v>
      </c>
      <c r="V10" s="123">
        <f>'Volume &amp; CPI forecast'!V10</f>
        <v>44012</v>
      </c>
      <c r="W10" s="123">
        <f>'Volume &amp; CPI forecast'!W10</f>
        <v>44377</v>
      </c>
      <c r="X10" s="123">
        <f>'Volume &amp; CPI forecast'!X10</f>
        <v>44742</v>
      </c>
      <c r="Y10" s="342">
        <f>'Volume &amp; CPI forecast'!Y10</f>
        <v>45107</v>
      </c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</row>
    <row r="11" spans="1:53" s="100" customFormat="1" ht="12">
      <c r="G11" s="220"/>
      <c r="H11" s="220"/>
      <c r="I11" s="220"/>
      <c r="J11" s="220"/>
      <c r="K11" s="219"/>
      <c r="L11" s="219"/>
      <c r="M11" s="218" t="s">
        <v>1</v>
      </c>
      <c r="N11" s="217" t="str">
        <f>'Volume &amp; CPI forecast'!N11</f>
        <v>Bus Plan   $</v>
      </c>
      <c r="O11" s="217" t="str">
        <f>'Volume &amp; CPI forecast'!O11</f>
        <v>Bus Plan   $</v>
      </c>
      <c r="P11" s="217" t="str">
        <f>'Volume &amp; CPI forecast'!P11</f>
        <v>Bus Plan   $</v>
      </c>
      <c r="Q11" s="217" t="str">
        <f>'Volume &amp; CPI forecast'!Q11</f>
        <v>Forecast   $</v>
      </c>
      <c r="R11" s="217" t="str">
        <f>'Volume &amp; CPI forecast'!R11</f>
        <v>Forecast   $</v>
      </c>
      <c r="S11" s="217" t="str">
        <f>'Volume &amp; CPI forecast'!S11</f>
        <v>Forecast   $</v>
      </c>
      <c r="T11" s="217" t="str">
        <f>'Volume &amp; CPI forecast'!T11</f>
        <v>Forecast   $</v>
      </c>
      <c r="U11" s="217" t="str">
        <f>'Volume &amp; CPI forecast'!U11</f>
        <v>Forecast   $</v>
      </c>
      <c r="V11" s="217" t="str">
        <f>'Volume &amp; CPI forecast'!V11</f>
        <v>Forecast   $</v>
      </c>
      <c r="W11" s="217" t="str">
        <f>'Volume &amp; CPI forecast'!W11</f>
        <v>Forecast   $</v>
      </c>
      <c r="X11" s="217" t="str">
        <f>'Volume &amp; CPI forecast'!X11</f>
        <v>Forecast   $</v>
      </c>
      <c r="Y11" s="365" t="str">
        <f>'Volume &amp; CPI forecast'!Y11</f>
        <v>Terminal value</v>
      </c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</row>
    <row r="12" spans="1:53" s="100" customFormat="1" ht="12">
      <c r="G12" s="216" t="s">
        <v>94</v>
      </c>
      <c r="H12" s="215"/>
      <c r="I12" s="215"/>
      <c r="K12" s="118"/>
      <c r="L12" s="118"/>
      <c r="M12" s="247"/>
      <c r="Y12" s="352"/>
    </row>
    <row r="13" spans="1:53" s="100" customFormat="1" ht="12">
      <c r="D13" s="179"/>
      <c r="E13" s="165"/>
      <c r="F13" s="165"/>
      <c r="G13" s="246" t="s">
        <v>3</v>
      </c>
      <c r="H13" s="121"/>
      <c r="I13" s="165"/>
      <c r="J13" s="165"/>
      <c r="K13" s="197"/>
      <c r="L13" s="197"/>
      <c r="M13" s="243"/>
      <c r="N13" s="244">
        <f>WACC!N32</f>
        <v>0.13554266666666667</v>
      </c>
      <c r="O13" s="244">
        <f>WACC!O32</f>
        <v>0.13554266666666667</v>
      </c>
      <c r="P13" s="244">
        <f>WACC!P32</f>
        <v>0.13554266666666667</v>
      </c>
      <c r="Q13" s="244">
        <f>WACC!Q32</f>
        <v>0.13554266666666667</v>
      </c>
      <c r="R13" s="244">
        <f>WACC!R32</f>
        <v>0.13554266666666667</v>
      </c>
      <c r="S13" s="244">
        <f>WACC!S32</f>
        <v>0.13554266666666667</v>
      </c>
      <c r="T13" s="244">
        <f>WACC!T32</f>
        <v>0.13554266666666667</v>
      </c>
      <c r="U13" s="244">
        <f>WACC!U32</f>
        <v>0.13554266666666667</v>
      </c>
      <c r="V13" s="244">
        <f>WACC!V32</f>
        <v>0.13554266666666667</v>
      </c>
      <c r="W13" s="244">
        <f>WACC!W32</f>
        <v>0.13554266666666667</v>
      </c>
      <c r="X13" s="244">
        <f>WACC!X32</f>
        <v>0.13554266666666667</v>
      </c>
      <c r="Y13" s="366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74"/>
    </row>
    <row r="14" spans="1:53" s="100" customFormat="1" ht="12">
      <c r="D14" s="179"/>
      <c r="E14" s="165"/>
      <c r="F14" s="165"/>
      <c r="G14" s="246" t="s">
        <v>93</v>
      </c>
      <c r="H14" s="121"/>
      <c r="I14" s="165"/>
      <c r="J14" s="165"/>
      <c r="K14" s="197"/>
      <c r="L14" s="197"/>
      <c r="M14" s="310">
        <v>5</v>
      </c>
      <c r="N14" s="245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366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74"/>
    </row>
    <row r="15" spans="1:53" s="100" customFormat="1" ht="12">
      <c r="D15" s="179"/>
      <c r="E15" s="165"/>
      <c r="F15" s="165"/>
      <c r="G15" s="165"/>
      <c r="H15" s="121"/>
      <c r="I15" s="165"/>
      <c r="J15" s="165"/>
      <c r="K15" s="197"/>
      <c r="L15" s="197"/>
      <c r="M15" s="243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363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74"/>
    </row>
    <row r="16" spans="1:53" s="100" customFormat="1" ht="12">
      <c r="D16" s="165"/>
      <c r="E16" s="165"/>
      <c r="F16" s="165"/>
      <c r="G16" s="165" t="s">
        <v>92</v>
      </c>
      <c r="H16" s="121"/>
      <c r="I16" s="165"/>
      <c r="J16" s="165"/>
      <c r="K16" s="197"/>
      <c r="L16" s="197"/>
      <c r="M16" s="243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363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</row>
    <row r="17" spans="7:25">
      <c r="G17" s="240" t="s">
        <v>10</v>
      </c>
      <c r="M17" s="311">
        <f>'[7]2008-2012 Asset Mov''t Revised'!$P$90</f>
        <v>30113828.049936756</v>
      </c>
      <c r="O17" s="133">
        <f>-PMT(O$13,$M$14,$M17,0)</f>
        <v>8677883.0482765622</v>
      </c>
      <c r="P17" s="133">
        <f>-PMT(P13,$M$14,$M$17,0)</f>
        <v>8677883.0482765622</v>
      </c>
      <c r="Q17" s="133">
        <f>-PMT(Q13,$M$14,$M$17,0)</f>
        <v>8677883.0482765622</v>
      </c>
      <c r="R17" s="133">
        <f>-PMT(R13,$M$14,$M$17,0)</f>
        <v>8677883.0482765622</v>
      </c>
      <c r="S17" s="133">
        <f>-PMT(S13,$M$14,$M$17,0)</f>
        <v>8677883.0482765622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367">
        <v>0</v>
      </c>
    </row>
    <row r="18" spans="7:25">
      <c r="G18" s="240" t="s">
        <v>91</v>
      </c>
      <c r="M18" s="312">
        <f>'[7]2008-2012 Asset Mov''t Revised'!$AQ$90</f>
        <v>666283.53533129313</v>
      </c>
      <c r="O18" s="133">
        <f>-PMT(O$13,$M$14,$M18,0)</f>
        <v>192002.51084017698</v>
      </c>
      <c r="P18" s="133">
        <f t="shared" ref="P18:S20" si="0">-PMT(P$13,$M$14,$M18,0)</f>
        <v>192002.51084017698</v>
      </c>
      <c r="Q18" s="133">
        <f t="shared" si="0"/>
        <v>192002.51084017698</v>
      </c>
      <c r="R18" s="133">
        <f t="shared" si="0"/>
        <v>192002.51084017698</v>
      </c>
      <c r="S18" s="133">
        <f t="shared" si="0"/>
        <v>192002.51084017698</v>
      </c>
      <c r="T18" s="239"/>
      <c r="U18" s="239"/>
      <c r="V18" s="239"/>
      <c r="W18" s="239"/>
      <c r="X18" s="239"/>
      <c r="Y18" s="367"/>
    </row>
    <row r="19" spans="7:25">
      <c r="G19" s="240" t="s">
        <v>204</v>
      </c>
      <c r="M19" s="312">
        <f>'[7]2008-2012 Asset Mov''t Revised'!$Y$90</f>
        <v>2682068.490731956</v>
      </c>
      <c r="O19" s="133">
        <f>-PMT(O$13,$M$14,$M19,0)</f>
        <v>772890.00426793715</v>
      </c>
      <c r="P19" s="133">
        <f t="shared" si="0"/>
        <v>772890.00426793715</v>
      </c>
      <c r="Q19" s="133">
        <f t="shared" si="0"/>
        <v>772890.00426793715</v>
      </c>
      <c r="R19" s="133">
        <f t="shared" si="0"/>
        <v>772890.00426793715</v>
      </c>
      <c r="S19" s="133">
        <f t="shared" si="0"/>
        <v>772890.00426793715</v>
      </c>
      <c r="T19" s="239"/>
      <c r="U19" s="239"/>
      <c r="V19" s="239"/>
      <c r="W19" s="239"/>
      <c r="X19" s="239"/>
      <c r="Y19" s="367"/>
    </row>
    <row r="20" spans="7:25">
      <c r="G20" s="240" t="s">
        <v>227</v>
      </c>
      <c r="M20" s="312">
        <f>'[7]2008-2012 Asset Mov''t Revised'!$AH$90</f>
        <v>2660</v>
      </c>
      <c r="O20" s="133">
        <f>-PMT(O$13,$M$14,$M20,0)</f>
        <v>766.53054105700573</v>
      </c>
      <c r="P20" s="133">
        <f t="shared" si="0"/>
        <v>766.53054105700573</v>
      </c>
      <c r="Q20" s="133">
        <f t="shared" si="0"/>
        <v>766.53054105700573</v>
      </c>
      <c r="R20" s="133">
        <f t="shared" si="0"/>
        <v>766.53054105700573</v>
      </c>
      <c r="S20" s="133">
        <f t="shared" si="0"/>
        <v>766.53054105700573</v>
      </c>
      <c r="T20" s="239"/>
      <c r="U20" s="239"/>
      <c r="V20" s="239"/>
      <c r="W20" s="239"/>
      <c r="X20" s="239"/>
      <c r="Y20" s="367"/>
    </row>
    <row r="21" spans="7:25">
      <c r="M21" s="441"/>
      <c r="O21" s="133"/>
      <c r="P21" s="133"/>
      <c r="Q21" s="133"/>
      <c r="R21" s="133"/>
      <c r="S21" s="133"/>
      <c r="T21" s="239"/>
      <c r="U21" s="239"/>
      <c r="V21" s="239"/>
      <c r="W21" s="239"/>
      <c r="X21" s="239"/>
      <c r="Y21" s="367"/>
    </row>
    <row r="22" spans="7:25">
      <c r="G22" s="242" t="s">
        <v>23</v>
      </c>
      <c r="H22" s="242"/>
      <c r="I22" s="242"/>
      <c r="J22" s="242"/>
      <c r="K22" s="241"/>
      <c r="L22" s="241"/>
      <c r="M22" s="313">
        <f>SUM(M17:M21)</f>
        <v>33464840.076000005</v>
      </c>
      <c r="O22" s="133">
        <f>SUM(O17:O21)</f>
        <v>9643542.0939257331</v>
      </c>
      <c r="P22" s="133">
        <f t="shared" ref="P22:S22" si="1">SUM(P17:P21)</f>
        <v>9643542.0939257331</v>
      </c>
      <c r="Q22" s="133">
        <f t="shared" si="1"/>
        <v>9643542.0939257331</v>
      </c>
      <c r="R22" s="133">
        <f t="shared" si="1"/>
        <v>9643542.0939257331</v>
      </c>
      <c r="S22" s="133">
        <f t="shared" si="1"/>
        <v>9643542.0939257331</v>
      </c>
      <c r="Y22" s="344"/>
    </row>
    <row r="23" spans="7:25">
      <c r="Y23" s="344"/>
    </row>
    <row r="24" spans="7:25">
      <c r="Y24" s="344"/>
    </row>
    <row r="25" spans="7:25"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</row>
    <row r="26" spans="7:25"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</row>
  </sheetData>
  <pageMargins left="0.7" right="0.7" top="0.75" bottom="0.75" header="0.3" footer="0.3"/>
  <pageSetup paperSize="8" scale="47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70C0"/>
  </sheetPr>
  <dimension ref="A1:BF893"/>
  <sheetViews>
    <sheetView showGridLines="0" topLeftCell="F1" zoomScale="55" zoomScaleNormal="55" zoomScaleSheetLayoutView="100" workbookViewId="0">
      <pane xSplit="8" ySplit="8" topLeftCell="N855" activePane="bottomRight" state="frozen"/>
      <selection activeCell="E242" sqref="E242"/>
      <selection pane="topRight" activeCell="E242" sqref="E242"/>
      <selection pane="bottomLeft" activeCell="E242" sqref="E242"/>
      <selection pane="bottomRight" activeCell="P885" sqref="P885"/>
    </sheetView>
  </sheetViews>
  <sheetFormatPr defaultColWidth="0" defaultRowHeight="12.75" outlineLevelRow="2" outlineLevelCol="1"/>
  <cols>
    <col min="1" max="3" width="1.5703125" hidden="1" customWidth="1" outlineLevel="1"/>
    <col min="4" max="4" width="24.5703125" hidden="1" customWidth="1" outlineLevel="1"/>
    <col min="5" max="5" width="28.5703125" hidden="1" customWidth="1" outlineLevel="1"/>
    <col min="6" max="6" width="9.140625" customWidth="1" collapsed="1"/>
    <col min="7" max="7" width="35.28515625" customWidth="1"/>
    <col min="8" max="8" width="9.28515625" customWidth="1"/>
    <col min="9" max="9" width="5.7109375" bestFit="1" customWidth="1"/>
    <col min="10" max="10" width="25.7109375" bestFit="1" customWidth="1"/>
    <col min="11" max="11" width="11.28515625" bestFit="1" customWidth="1"/>
    <col min="12" max="12" width="10.28515625" bestFit="1" customWidth="1"/>
    <col min="13" max="13" width="10.28515625" style="225" bestFit="1" customWidth="1"/>
    <col min="14" max="19" width="12.5703125" bestFit="1" customWidth="1"/>
    <col min="20" max="20" width="13.5703125" bestFit="1" customWidth="1"/>
    <col min="21" max="23" width="12.5703125" bestFit="1" customWidth="1"/>
    <col min="24" max="24" width="22.28515625" bestFit="1" customWidth="1"/>
    <col min="25" max="25" width="12.42578125" bestFit="1" customWidth="1"/>
    <col min="26" max="34" width="10" bestFit="1" customWidth="1"/>
    <col min="35" max="58" width="10.140625" hidden="1" customWidth="1"/>
    <col min="59" max="16384" width="8.85546875" hidden="1"/>
  </cols>
  <sheetData>
    <row r="1" spans="1:58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37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</row>
    <row r="2" spans="1:58" ht="21">
      <c r="A2" s="129"/>
      <c r="B2" s="129"/>
      <c r="C2" s="129"/>
      <c r="D2" s="129"/>
      <c r="E2" s="129"/>
      <c r="F2" s="129"/>
      <c r="G2" s="132" t="str">
        <f>'Volume &amp; CPI forecast'!G2</f>
        <v>Christchurch International Airport - Simplfied Pricing Model</v>
      </c>
      <c r="H2" s="129"/>
      <c r="I2" s="129"/>
      <c r="J2" s="129"/>
      <c r="K2" s="129"/>
      <c r="L2" s="129"/>
      <c r="M2" s="237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</row>
    <row r="3" spans="1:58">
      <c r="A3" s="129"/>
      <c r="B3" s="129"/>
      <c r="C3" s="129"/>
      <c r="D3" s="129"/>
      <c r="E3" s="129"/>
      <c r="F3" s="129"/>
      <c r="G3" s="131"/>
      <c r="H3" s="129"/>
      <c r="I3" s="129"/>
      <c r="J3" s="129"/>
      <c r="K3" s="129"/>
      <c r="L3" s="129"/>
      <c r="M3" s="237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</row>
    <row r="4" spans="1:58">
      <c r="A4" s="129"/>
      <c r="B4" s="129"/>
      <c r="C4" s="129"/>
      <c r="D4" s="129"/>
      <c r="E4" s="129"/>
      <c r="F4" s="129"/>
      <c r="G4" s="130"/>
      <c r="H4" s="129"/>
      <c r="I4" s="129"/>
      <c r="J4" s="129"/>
      <c r="K4" s="129"/>
      <c r="L4" s="129"/>
      <c r="M4" s="237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</row>
    <row r="5" spans="1:58">
      <c r="A5" s="118"/>
      <c r="B5" s="118"/>
      <c r="C5" s="118"/>
      <c r="D5" s="118"/>
      <c r="E5" s="118"/>
      <c r="F5" s="118"/>
      <c r="G5" s="160"/>
      <c r="H5" s="118"/>
      <c r="I5" s="118"/>
      <c r="J5" s="118"/>
      <c r="K5" s="118"/>
      <c r="L5" s="118"/>
      <c r="M5" s="208"/>
      <c r="N5" s="118"/>
      <c r="O5" s="118"/>
      <c r="P5" s="118"/>
      <c r="Q5" s="118"/>
      <c r="R5" s="118"/>
      <c r="S5" s="118"/>
    </row>
    <row r="6" spans="1:58">
      <c r="A6" s="118"/>
      <c r="B6" s="118"/>
      <c r="C6" s="118"/>
      <c r="D6" s="118"/>
      <c r="E6" s="118"/>
      <c r="F6" s="118"/>
      <c r="G6" s="160"/>
      <c r="H6" s="118"/>
      <c r="I6" s="118"/>
      <c r="J6" s="118"/>
      <c r="K6" s="118"/>
      <c r="L6" s="118"/>
      <c r="M6" s="208"/>
      <c r="N6" s="118"/>
      <c r="O6" s="118"/>
      <c r="P6" s="118"/>
      <c r="Q6" s="118"/>
      <c r="R6" s="118"/>
      <c r="S6" s="118"/>
    </row>
    <row r="7" spans="1:58" ht="21">
      <c r="A7" s="118"/>
      <c r="B7" s="118"/>
      <c r="C7" s="118"/>
      <c r="D7" s="118"/>
      <c r="E7" s="118"/>
      <c r="F7" s="118"/>
      <c r="G7" s="223" t="s">
        <v>194</v>
      </c>
      <c r="H7" s="118"/>
      <c r="I7" s="118"/>
      <c r="J7" s="118"/>
      <c r="K7" s="118"/>
      <c r="L7" s="118"/>
      <c r="M7" s="208"/>
      <c r="N7" s="118"/>
      <c r="O7" s="118"/>
      <c r="P7" s="118"/>
      <c r="Q7" s="118"/>
      <c r="R7" s="118"/>
      <c r="S7" s="118"/>
    </row>
    <row r="8" spans="1:58">
      <c r="A8" s="118"/>
      <c r="B8" s="118"/>
      <c r="C8" s="118"/>
      <c r="D8" s="118"/>
      <c r="E8" s="118"/>
      <c r="F8" s="118"/>
      <c r="G8" s="224"/>
      <c r="H8" s="290"/>
      <c r="I8" s="290"/>
      <c r="J8" s="224" t="str">
        <f>[2]OUTPUT!K2495</f>
        <v>Asset_Class</v>
      </c>
      <c r="K8" s="291"/>
      <c r="L8" s="290"/>
      <c r="M8" s="292"/>
      <c r="N8" s="293">
        <f>'Volume &amp; CPI forecast'!N10</f>
        <v>41090</v>
      </c>
      <c r="O8" s="293">
        <f>'Volume &amp; CPI forecast'!O10</f>
        <v>41455</v>
      </c>
      <c r="P8" s="293">
        <f>'Volume &amp; CPI forecast'!P10</f>
        <v>41820</v>
      </c>
      <c r="Q8" s="293">
        <f>'Volume &amp; CPI forecast'!Q10</f>
        <v>42185</v>
      </c>
      <c r="R8" s="293">
        <f>'Volume &amp; CPI forecast'!R10</f>
        <v>42551</v>
      </c>
      <c r="S8" s="293">
        <f>'Volume &amp; CPI forecast'!S10</f>
        <v>42916</v>
      </c>
      <c r="T8" s="293">
        <f>'Volume &amp; CPI forecast'!T10</f>
        <v>43281</v>
      </c>
      <c r="U8" s="293">
        <f>'Volume &amp; CPI forecast'!U10</f>
        <v>43646</v>
      </c>
      <c r="V8" s="293">
        <f>'Volume &amp; CPI forecast'!V10</f>
        <v>44012</v>
      </c>
      <c r="W8" s="293">
        <f>'Volume &amp; CPI forecast'!W10</f>
        <v>44377</v>
      </c>
      <c r="X8" s="293">
        <f>'Volume &amp; CPI forecast'!X10</f>
        <v>44742</v>
      </c>
      <c r="Y8" s="293">
        <f>'Volume &amp; CPI forecast'!Y10</f>
        <v>45107</v>
      </c>
      <c r="Z8" s="293">
        <f>'Volume &amp; CPI forecast'!Z10</f>
        <v>45473</v>
      </c>
      <c r="AA8" s="293">
        <f>'Volume &amp; CPI forecast'!AA10</f>
        <v>45838</v>
      </c>
      <c r="AB8" s="293">
        <f>'Volume &amp; CPI forecast'!AB10</f>
        <v>46203</v>
      </c>
      <c r="AC8" s="293">
        <f>'Volume &amp; CPI forecast'!AC10</f>
        <v>46568</v>
      </c>
      <c r="AD8" s="293">
        <f>'Volume &amp; CPI forecast'!AD10</f>
        <v>46934</v>
      </c>
      <c r="AE8" s="293">
        <f>'Volume &amp; CPI forecast'!AE10</f>
        <v>47299</v>
      </c>
      <c r="AF8" s="293">
        <f>'Volume &amp; CPI forecast'!AF10</f>
        <v>47664</v>
      </c>
      <c r="AG8" s="293">
        <f>'Volume &amp; CPI forecast'!AG10</f>
        <v>48029</v>
      </c>
      <c r="AH8" s="293">
        <f>'Volume &amp; CPI forecast'!AH10</f>
        <v>48395</v>
      </c>
      <c r="AI8" s="293">
        <v>43281</v>
      </c>
      <c r="AJ8" s="293">
        <v>43281</v>
      </c>
      <c r="AK8" s="293">
        <v>43281</v>
      </c>
      <c r="AL8" s="293">
        <v>43281</v>
      </c>
      <c r="AM8" s="293">
        <v>43281</v>
      </c>
      <c r="AN8" s="536">
        <v>48760</v>
      </c>
      <c r="AO8" s="536">
        <v>49125</v>
      </c>
      <c r="AP8" s="536">
        <v>49490</v>
      </c>
      <c r="AQ8" s="536">
        <v>49856</v>
      </c>
      <c r="AR8" s="536">
        <v>50221</v>
      </c>
      <c r="AS8" s="536">
        <v>50586</v>
      </c>
      <c r="AT8" s="536">
        <v>50951</v>
      </c>
      <c r="AU8" s="536">
        <v>51317</v>
      </c>
      <c r="AV8" s="536">
        <v>51682</v>
      </c>
      <c r="AW8" s="536">
        <v>52047</v>
      </c>
      <c r="AX8" s="536">
        <v>52412</v>
      </c>
      <c r="AY8" s="536">
        <v>52778</v>
      </c>
      <c r="AZ8" s="536">
        <v>53143</v>
      </c>
      <c r="BA8" s="536">
        <v>53508</v>
      </c>
      <c r="BB8" s="536">
        <v>53873</v>
      </c>
      <c r="BC8" s="536">
        <v>54239</v>
      </c>
      <c r="BD8" s="536">
        <v>54604</v>
      </c>
      <c r="BE8" s="536">
        <v>54969</v>
      </c>
      <c r="BF8" s="536">
        <v>55334</v>
      </c>
    </row>
    <row r="9" spans="1:58">
      <c r="A9" s="118"/>
      <c r="B9" s="118"/>
      <c r="C9" s="118"/>
      <c r="D9" s="118"/>
      <c r="E9" s="118"/>
      <c r="F9" s="118"/>
      <c r="G9" s="288" t="s">
        <v>10</v>
      </c>
      <c r="H9" s="289"/>
      <c r="I9" s="289"/>
      <c r="J9" s="288" t="s">
        <v>33</v>
      </c>
      <c r="K9" s="48" t="s">
        <v>83</v>
      </c>
      <c r="N9" s="435">
        <v>0</v>
      </c>
      <c r="O9" s="435">
        <v>30876469.399999999</v>
      </c>
      <c r="P9" s="435">
        <v>10657708.295799997</v>
      </c>
      <c r="Q9" s="435">
        <v>5922370.4331083978</v>
      </c>
      <c r="R9" s="435">
        <v>5546213.9125593249</v>
      </c>
      <c r="S9" s="435">
        <v>7061324.6258512298</v>
      </c>
      <c r="T9" s="435">
        <v>0</v>
      </c>
      <c r="U9" s="435">
        <v>0</v>
      </c>
      <c r="V9" s="435">
        <v>0</v>
      </c>
      <c r="W9" s="435">
        <v>0</v>
      </c>
      <c r="X9" s="435">
        <v>0</v>
      </c>
      <c r="Y9" s="435">
        <v>0</v>
      </c>
      <c r="Z9" s="435">
        <v>0</v>
      </c>
      <c r="AA9" s="435">
        <v>0</v>
      </c>
      <c r="AB9" s="435">
        <v>0</v>
      </c>
      <c r="AC9" s="435">
        <v>0</v>
      </c>
      <c r="AD9" s="435">
        <v>0</v>
      </c>
      <c r="AE9" s="435">
        <v>0</v>
      </c>
      <c r="AF9" s="435">
        <v>0</v>
      </c>
      <c r="AG9" s="435">
        <v>0</v>
      </c>
      <c r="AH9" s="435">
        <v>0</v>
      </c>
    </row>
    <row r="10" spans="1:58" outlineLevel="1">
      <c r="A10" s="118"/>
      <c r="B10" s="118"/>
      <c r="C10" s="118"/>
      <c r="D10" s="118"/>
      <c r="E10" s="118"/>
      <c r="F10" s="118"/>
      <c r="G10" s="288"/>
      <c r="H10" s="289"/>
      <c r="I10" s="289"/>
      <c r="J10" s="288" t="s">
        <v>33</v>
      </c>
      <c r="K10" s="48" t="s">
        <v>78</v>
      </c>
      <c r="N10" s="435">
        <v>0</v>
      </c>
      <c r="O10" s="435">
        <v>887599.20606606617</v>
      </c>
      <c r="P10" s="435">
        <v>1236374.1071205405</v>
      </c>
      <c r="Q10" s="435">
        <v>1426466.1501940831</v>
      </c>
      <c r="R10" s="435">
        <v>1600911.5736330894</v>
      </c>
      <c r="S10" s="435">
        <v>1817962.8606604496</v>
      </c>
      <c r="T10" s="435">
        <v>1817962.8606604496</v>
      </c>
      <c r="U10" s="435">
        <v>1817962.8606604496</v>
      </c>
      <c r="V10" s="435">
        <v>1817962.8606604496</v>
      </c>
      <c r="W10" s="435">
        <v>1817962.8606604496</v>
      </c>
      <c r="X10" s="435">
        <v>1817962.8606604496</v>
      </c>
      <c r="Y10" s="435">
        <v>1808324.6206604498</v>
      </c>
      <c r="Z10" s="435">
        <v>1767273.2940804497</v>
      </c>
      <c r="AA10" s="435">
        <v>1749775.6717096097</v>
      </c>
      <c r="AB10" s="435">
        <v>1738495.8996941769</v>
      </c>
      <c r="AC10" s="435">
        <v>1731350.6965971871</v>
      </c>
      <c r="AD10" s="435">
        <v>1731350.6965971871</v>
      </c>
      <c r="AE10" s="435">
        <v>1731350.6965971871</v>
      </c>
      <c r="AF10" s="435">
        <v>1731350.6965971871</v>
      </c>
      <c r="AG10" s="435">
        <v>1731350.6965971871</v>
      </c>
      <c r="AH10" s="435">
        <v>1731350.6965971871</v>
      </c>
    </row>
    <row r="11" spans="1:58" outlineLevel="1">
      <c r="A11" s="118"/>
      <c r="B11" s="118"/>
      <c r="C11" s="118"/>
      <c r="D11" s="118"/>
      <c r="E11" s="118"/>
      <c r="F11" s="118"/>
      <c r="G11" s="288"/>
      <c r="H11" s="289"/>
      <c r="I11" s="289"/>
      <c r="J11" s="288" t="s">
        <v>31</v>
      </c>
      <c r="K11" s="48" t="s">
        <v>83</v>
      </c>
      <c r="N11" s="435">
        <v>0</v>
      </c>
      <c r="O11" s="435">
        <v>0</v>
      </c>
      <c r="P11" s="435">
        <v>0</v>
      </c>
      <c r="Q11" s="435">
        <v>0</v>
      </c>
      <c r="R11" s="435">
        <v>0</v>
      </c>
      <c r="S11" s="435">
        <v>0</v>
      </c>
      <c r="T11" s="435">
        <v>0</v>
      </c>
      <c r="U11" s="435">
        <v>0</v>
      </c>
      <c r="V11" s="435">
        <v>0</v>
      </c>
      <c r="W11" s="435">
        <v>0</v>
      </c>
      <c r="X11" s="435">
        <v>0</v>
      </c>
      <c r="Y11" s="435">
        <v>0</v>
      </c>
      <c r="Z11" s="435">
        <v>0</v>
      </c>
      <c r="AA11" s="435">
        <v>0</v>
      </c>
      <c r="AB11" s="435">
        <v>0</v>
      </c>
      <c r="AC11" s="435">
        <v>0</v>
      </c>
      <c r="AD11" s="435">
        <v>0</v>
      </c>
      <c r="AE11" s="435">
        <v>0</v>
      </c>
      <c r="AF11" s="435">
        <v>0</v>
      </c>
      <c r="AG11" s="435">
        <v>0</v>
      </c>
      <c r="AH11" s="435">
        <v>0</v>
      </c>
    </row>
    <row r="12" spans="1:58" outlineLevel="1">
      <c r="A12" s="118"/>
      <c r="B12" s="118"/>
      <c r="C12" s="118"/>
      <c r="D12" s="118"/>
      <c r="E12" s="118"/>
      <c r="F12" s="118"/>
      <c r="G12" s="288"/>
      <c r="H12" s="289"/>
      <c r="I12" s="289"/>
      <c r="J12" s="288" t="s">
        <v>31</v>
      </c>
      <c r="K12" s="48" t="s">
        <v>78</v>
      </c>
      <c r="N12" s="435">
        <v>0</v>
      </c>
      <c r="O12" s="435">
        <v>0</v>
      </c>
      <c r="P12" s="435">
        <v>0</v>
      </c>
      <c r="Q12" s="435">
        <v>0</v>
      </c>
      <c r="R12" s="435">
        <v>0</v>
      </c>
      <c r="S12" s="435">
        <v>0</v>
      </c>
      <c r="T12" s="435">
        <v>0</v>
      </c>
      <c r="U12" s="435">
        <v>0</v>
      </c>
      <c r="V12" s="435">
        <v>0</v>
      </c>
      <c r="W12" s="435">
        <v>0</v>
      </c>
      <c r="X12" s="435">
        <v>0</v>
      </c>
      <c r="Y12" s="435">
        <v>0</v>
      </c>
      <c r="Z12" s="435">
        <v>0</v>
      </c>
      <c r="AA12" s="435">
        <v>0</v>
      </c>
      <c r="AB12" s="435">
        <v>0</v>
      </c>
      <c r="AC12" s="435">
        <v>0</v>
      </c>
      <c r="AD12" s="435">
        <v>0</v>
      </c>
      <c r="AE12" s="435">
        <v>0</v>
      </c>
      <c r="AF12" s="435">
        <v>0</v>
      </c>
      <c r="AG12" s="435">
        <v>0</v>
      </c>
      <c r="AH12" s="435">
        <v>0</v>
      </c>
    </row>
    <row r="13" spans="1:58" outlineLevel="1">
      <c r="A13" s="118"/>
      <c r="B13" s="118"/>
      <c r="C13" s="118"/>
      <c r="D13" s="118"/>
      <c r="E13" s="118"/>
      <c r="F13" s="118"/>
      <c r="G13" s="288"/>
      <c r="H13" s="289"/>
      <c r="I13" s="289"/>
      <c r="J13" s="288" t="s">
        <v>34</v>
      </c>
      <c r="K13" s="48" t="s">
        <v>83</v>
      </c>
      <c r="N13" s="435">
        <v>0</v>
      </c>
      <c r="O13" s="435">
        <v>247745.21783702838</v>
      </c>
      <c r="P13" s="435">
        <v>253594.56057500665</v>
      </c>
      <c r="Q13" s="435">
        <v>284124.57028807234</v>
      </c>
      <c r="R13" s="435">
        <v>303158.32769591874</v>
      </c>
      <c r="S13" s="435">
        <v>322527.2102558933</v>
      </c>
      <c r="T13" s="435">
        <v>0</v>
      </c>
      <c r="U13" s="435">
        <v>0</v>
      </c>
      <c r="V13" s="435">
        <v>0</v>
      </c>
      <c r="W13" s="435">
        <v>0</v>
      </c>
      <c r="X13" s="435">
        <v>0</v>
      </c>
      <c r="Y13" s="435">
        <v>0</v>
      </c>
      <c r="Z13" s="435">
        <v>0</v>
      </c>
      <c r="AA13" s="435">
        <v>0</v>
      </c>
      <c r="AB13" s="435">
        <v>0</v>
      </c>
      <c r="AC13" s="435">
        <v>0</v>
      </c>
      <c r="AD13" s="435">
        <v>0</v>
      </c>
      <c r="AE13" s="435">
        <v>0</v>
      </c>
      <c r="AF13" s="435">
        <v>0</v>
      </c>
      <c r="AG13" s="435">
        <v>0</v>
      </c>
      <c r="AH13" s="435">
        <v>0</v>
      </c>
    </row>
    <row r="14" spans="1:58" outlineLevel="1">
      <c r="A14" s="118"/>
      <c r="B14" s="118"/>
      <c r="C14" s="118"/>
      <c r="D14" s="118"/>
      <c r="E14" s="118"/>
      <c r="F14" s="118"/>
      <c r="G14" s="288"/>
      <c r="H14" s="289"/>
      <c r="I14" s="289"/>
      <c r="J14" s="288" t="s">
        <v>34</v>
      </c>
      <c r="K14" s="48" t="s">
        <v>78</v>
      </c>
      <c r="N14" s="435">
        <v>0</v>
      </c>
      <c r="O14" s="435">
        <v>24774.521783702839</v>
      </c>
      <c r="P14" s="435">
        <v>50133.977841203508</v>
      </c>
      <c r="Q14" s="435">
        <v>78546.434870010751</v>
      </c>
      <c r="R14" s="435">
        <v>108862.26763960262</v>
      </c>
      <c r="S14" s="435">
        <v>141114.98866519195</v>
      </c>
      <c r="T14" s="435">
        <v>141114.98866519195</v>
      </c>
      <c r="U14" s="435">
        <v>141114.98866519195</v>
      </c>
      <c r="V14" s="435">
        <v>141114.98866519195</v>
      </c>
      <c r="W14" s="435">
        <v>141114.98866519195</v>
      </c>
      <c r="X14" s="435">
        <v>141114.98866519195</v>
      </c>
      <c r="Y14" s="435">
        <v>116340.46688148912</v>
      </c>
      <c r="Z14" s="435">
        <v>90981.010823988443</v>
      </c>
      <c r="AA14" s="435">
        <v>62568.5537951812</v>
      </c>
      <c r="AB14" s="435">
        <v>32252.72102558933</v>
      </c>
      <c r="AC14" s="435">
        <v>0</v>
      </c>
      <c r="AD14" s="435">
        <v>0</v>
      </c>
      <c r="AE14" s="435">
        <v>0</v>
      </c>
      <c r="AF14" s="435">
        <v>0</v>
      </c>
      <c r="AG14" s="435">
        <v>0</v>
      </c>
      <c r="AH14" s="435">
        <v>0</v>
      </c>
    </row>
    <row r="15" spans="1:58" outlineLevel="1">
      <c r="A15" s="118"/>
      <c r="B15" s="118"/>
      <c r="C15" s="118"/>
      <c r="D15" s="118"/>
      <c r="E15" s="118"/>
      <c r="F15" s="118"/>
      <c r="G15" s="288"/>
      <c r="H15" s="289"/>
      <c r="I15" s="289"/>
      <c r="J15" s="288" t="s">
        <v>29</v>
      </c>
      <c r="K15" s="48" t="s">
        <v>83</v>
      </c>
      <c r="N15" s="435">
        <v>0</v>
      </c>
      <c r="O15" s="435">
        <v>14708.697146841492</v>
      </c>
      <c r="P15" s="435">
        <v>2576.9538169151324</v>
      </c>
      <c r="Q15" s="435">
        <v>2499.9377169423883</v>
      </c>
      <c r="R15" s="435">
        <v>3161.4770910101497</v>
      </c>
      <c r="S15" s="435">
        <v>1005.08215404824</v>
      </c>
      <c r="T15" s="435">
        <v>0</v>
      </c>
      <c r="U15" s="435">
        <v>0</v>
      </c>
      <c r="V15" s="435">
        <v>0</v>
      </c>
      <c r="W15" s="435">
        <v>0</v>
      </c>
      <c r="X15" s="435">
        <v>0</v>
      </c>
      <c r="Y15" s="435">
        <v>0</v>
      </c>
      <c r="Z15" s="435">
        <v>0</v>
      </c>
      <c r="AA15" s="435">
        <v>0</v>
      </c>
      <c r="AB15" s="435">
        <v>0</v>
      </c>
      <c r="AC15" s="435">
        <v>0</v>
      </c>
      <c r="AD15" s="435">
        <v>0</v>
      </c>
      <c r="AE15" s="435">
        <v>0</v>
      </c>
      <c r="AF15" s="435">
        <v>0</v>
      </c>
      <c r="AG15" s="435">
        <v>0</v>
      </c>
      <c r="AH15" s="435">
        <v>0</v>
      </c>
    </row>
    <row r="16" spans="1:58" outlineLevel="1">
      <c r="A16" s="118"/>
      <c r="B16" s="118"/>
      <c r="C16" s="118"/>
      <c r="D16" s="118"/>
      <c r="E16" s="118"/>
      <c r="F16" s="118"/>
      <c r="G16" s="288"/>
      <c r="H16" s="289"/>
      <c r="I16" s="289"/>
      <c r="J16" s="288" t="s">
        <v>29</v>
      </c>
      <c r="K16" s="48" t="s">
        <v>78</v>
      </c>
      <c r="N16" s="435">
        <v>0</v>
      </c>
      <c r="O16" s="435">
        <v>3677.1742867103731</v>
      </c>
      <c r="P16" s="435">
        <v>4321.4127409391558</v>
      </c>
      <c r="Q16" s="435">
        <v>4946.3971701747532</v>
      </c>
      <c r="R16" s="435">
        <v>5473.310018676445</v>
      </c>
      <c r="S16" s="435">
        <v>2047.406270478132</v>
      </c>
      <c r="T16" s="435">
        <v>1403.1678162493488</v>
      </c>
      <c r="U16" s="435">
        <v>778.1833870137516</v>
      </c>
      <c r="V16" s="435">
        <v>426.90815467929053</v>
      </c>
      <c r="W16" s="435">
        <v>175.63761616723053</v>
      </c>
      <c r="X16" s="435">
        <v>175.63761616723053</v>
      </c>
      <c r="Y16" s="435">
        <v>175.63761616723053</v>
      </c>
      <c r="Z16" s="435">
        <v>175.63761616723053</v>
      </c>
      <c r="AA16" s="435">
        <v>175.63761616723053</v>
      </c>
      <c r="AB16" s="435">
        <v>0</v>
      </c>
      <c r="AC16" s="435">
        <v>0</v>
      </c>
      <c r="AD16" s="435">
        <v>0</v>
      </c>
      <c r="AE16" s="435">
        <v>0</v>
      </c>
      <c r="AF16" s="435">
        <v>0</v>
      </c>
      <c r="AG16" s="435">
        <v>0</v>
      </c>
      <c r="AH16" s="435">
        <v>0</v>
      </c>
    </row>
    <row r="17" spans="1:34" outlineLevel="1">
      <c r="A17" s="118"/>
      <c r="B17" s="118"/>
      <c r="C17" s="118"/>
      <c r="D17" s="118"/>
      <c r="E17" s="118"/>
      <c r="F17" s="118"/>
      <c r="G17" s="288"/>
      <c r="H17" s="289"/>
      <c r="I17" s="289"/>
      <c r="J17" s="288" t="s">
        <v>32</v>
      </c>
      <c r="K17" s="48" t="s">
        <v>83</v>
      </c>
      <c r="N17" s="435">
        <v>0</v>
      </c>
      <c r="O17" s="435">
        <v>110175.56983847449</v>
      </c>
      <c r="P17" s="435">
        <v>109917.0330170524</v>
      </c>
      <c r="Q17" s="435">
        <v>111479.06221970578</v>
      </c>
      <c r="R17" s="435">
        <v>114158.2303875503</v>
      </c>
      <c r="S17" s="435">
        <v>117137.01685176583</v>
      </c>
      <c r="T17" s="435">
        <v>0</v>
      </c>
      <c r="U17" s="435">
        <v>0</v>
      </c>
      <c r="V17" s="435">
        <v>0</v>
      </c>
      <c r="W17" s="435">
        <v>0</v>
      </c>
      <c r="X17" s="435">
        <v>0</v>
      </c>
      <c r="Y17" s="435">
        <v>0</v>
      </c>
      <c r="Z17" s="435">
        <v>0</v>
      </c>
      <c r="AA17" s="435">
        <v>0</v>
      </c>
      <c r="AB17" s="435">
        <v>0</v>
      </c>
      <c r="AC17" s="435">
        <v>0</v>
      </c>
      <c r="AD17" s="435">
        <v>0</v>
      </c>
      <c r="AE17" s="435">
        <v>0</v>
      </c>
      <c r="AF17" s="435">
        <v>0</v>
      </c>
      <c r="AG17" s="435">
        <v>0</v>
      </c>
      <c r="AH17" s="435">
        <v>0</v>
      </c>
    </row>
    <row r="18" spans="1:34" outlineLevel="1">
      <c r="A18" s="118"/>
      <c r="B18" s="118"/>
      <c r="C18" s="118"/>
      <c r="D18" s="118"/>
      <c r="E18" s="118"/>
      <c r="F18" s="118"/>
      <c r="G18" s="288"/>
      <c r="H18" s="289"/>
      <c r="I18" s="289"/>
      <c r="J18" s="288" t="s">
        <v>32</v>
      </c>
      <c r="K18" s="48" t="s">
        <v>78</v>
      </c>
      <c r="N18" s="435">
        <v>0</v>
      </c>
      <c r="O18" s="435">
        <v>2203.5113967694897</v>
      </c>
      <c r="P18" s="435">
        <v>4401.8520571105382</v>
      </c>
      <c r="Q18" s="435">
        <v>6631.4333015046541</v>
      </c>
      <c r="R18" s="435">
        <v>8914.597909255659</v>
      </c>
      <c r="S18" s="435">
        <v>11257.338246290976</v>
      </c>
      <c r="T18" s="435">
        <v>11257.338246290976</v>
      </c>
      <c r="U18" s="435">
        <v>11257.338246290976</v>
      </c>
      <c r="V18" s="435">
        <v>11257.338246290976</v>
      </c>
      <c r="W18" s="435">
        <v>11257.338246290976</v>
      </c>
      <c r="X18" s="435">
        <v>11257.338246290976</v>
      </c>
      <c r="Y18" s="435">
        <v>11257.338246290976</v>
      </c>
      <c r="Z18" s="435">
        <v>11257.338246290976</v>
      </c>
      <c r="AA18" s="435">
        <v>11257.338246290976</v>
      </c>
      <c r="AB18" s="435">
        <v>11257.338246290976</v>
      </c>
      <c r="AC18" s="435">
        <v>11257.338246290976</v>
      </c>
      <c r="AD18" s="435">
        <v>11257.338246290976</v>
      </c>
      <c r="AE18" s="435">
        <v>11257.338246290976</v>
      </c>
      <c r="AF18" s="435">
        <v>11257.338246290976</v>
      </c>
      <c r="AG18" s="435">
        <v>11257.338246290976</v>
      </c>
      <c r="AH18" s="435">
        <v>11257.338246290976</v>
      </c>
    </row>
    <row r="19" spans="1:34" outlineLevel="1">
      <c r="A19" s="118"/>
      <c r="B19" s="118"/>
      <c r="C19" s="118"/>
      <c r="D19" s="118"/>
      <c r="E19" s="118"/>
      <c r="F19" s="118"/>
      <c r="G19" s="288"/>
      <c r="H19" s="289"/>
      <c r="I19" s="289"/>
      <c r="J19" s="288" t="s">
        <v>36</v>
      </c>
      <c r="K19" s="48" t="s">
        <v>83</v>
      </c>
      <c r="N19" s="435">
        <v>0</v>
      </c>
      <c r="O19" s="435">
        <v>300451.82097167405</v>
      </c>
      <c r="P19" s="435">
        <v>249495.17556837108</v>
      </c>
      <c r="Q19" s="435">
        <v>346625.48659093096</v>
      </c>
      <c r="R19" s="435">
        <v>256110.59338353405</v>
      </c>
      <c r="S19" s="435">
        <v>688528.80690755195</v>
      </c>
      <c r="T19" s="435">
        <v>0</v>
      </c>
      <c r="U19" s="435">
        <v>0</v>
      </c>
      <c r="V19" s="435">
        <v>0</v>
      </c>
      <c r="W19" s="435">
        <v>0</v>
      </c>
      <c r="X19" s="435">
        <v>0</v>
      </c>
      <c r="Y19" s="435">
        <v>0</v>
      </c>
      <c r="Z19" s="435">
        <v>0</v>
      </c>
      <c r="AA19" s="435">
        <v>0</v>
      </c>
      <c r="AB19" s="435">
        <v>0</v>
      </c>
      <c r="AC19" s="435">
        <v>0</v>
      </c>
      <c r="AD19" s="435">
        <v>0</v>
      </c>
      <c r="AE19" s="435">
        <v>0</v>
      </c>
      <c r="AF19" s="435">
        <v>0</v>
      </c>
      <c r="AG19" s="435">
        <v>0</v>
      </c>
      <c r="AH19" s="435">
        <v>0</v>
      </c>
    </row>
    <row r="20" spans="1:34" outlineLevel="1">
      <c r="A20" s="118"/>
      <c r="B20" s="118"/>
      <c r="C20" s="118"/>
      <c r="D20" s="118"/>
      <c r="E20" s="118"/>
      <c r="F20" s="118"/>
      <c r="G20" s="288"/>
      <c r="H20" s="289"/>
      <c r="I20" s="289"/>
      <c r="J20" s="288" t="s">
        <v>36</v>
      </c>
      <c r="K20" s="48" t="s">
        <v>78</v>
      </c>
      <c r="N20" s="435">
        <v>0</v>
      </c>
      <c r="O20" s="435">
        <v>62249.518188421236</v>
      </c>
      <c r="P20" s="435">
        <v>116362.41538108019</v>
      </c>
      <c r="Q20" s="435">
        <v>190882.73136048403</v>
      </c>
      <c r="R20" s="435">
        <v>252500.01644954085</v>
      </c>
      <c r="S20" s="435">
        <v>349771.21332548483</v>
      </c>
      <c r="T20" s="435">
        <v>277513.53456996277</v>
      </c>
      <c r="U20" s="435">
        <v>203696.00114987334</v>
      </c>
      <c r="V20" s="435">
        <v>130502.1982228359</v>
      </c>
      <c r="W20" s="435">
        <v>78415.628381500428</v>
      </c>
      <c r="X20" s="435">
        <v>41674.766948641169</v>
      </c>
      <c r="Y20" s="435">
        <v>39593.109655519176</v>
      </c>
      <c r="Z20" s="435">
        <v>37148.19687525092</v>
      </c>
      <c r="AA20" s="435">
        <v>31254.730875675832</v>
      </c>
      <c r="AB20" s="435">
        <v>29647.822037791371</v>
      </c>
      <c r="AC20" s="435">
        <v>0</v>
      </c>
      <c r="AD20" s="435">
        <v>0</v>
      </c>
      <c r="AE20" s="435">
        <v>0</v>
      </c>
      <c r="AF20" s="435">
        <v>0</v>
      </c>
      <c r="AG20" s="435">
        <v>0</v>
      </c>
      <c r="AH20" s="435">
        <v>0</v>
      </c>
    </row>
    <row r="21" spans="1:34" outlineLevel="1">
      <c r="A21" s="118"/>
      <c r="B21" s="118"/>
      <c r="C21" s="118"/>
      <c r="D21" s="118"/>
      <c r="E21" s="118"/>
      <c r="F21" s="118"/>
      <c r="G21" s="288"/>
      <c r="H21" s="289"/>
      <c r="I21" s="289"/>
      <c r="J21" s="288" t="s">
        <v>37</v>
      </c>
      <c r="K21" s="48" t="s">
        <v>83</v>
      </c>
      <c r="N21" s="435">
        <v>0</v>
      </c>
      <c r="O21" s="435">
        <v>0</v>
      </c>
      <c r="P21" s="435">
        <v>0</v>
      </c>
      <c r="Q21" s="435">
        <v>0</v>
      </c>
      <c r="R21" s="435">
        <v>0</v>
      </c>
      <c r="S21" s="435">
        <v>0</v>
      </c>
      <c r="T21" s="435">
        <v>0</v>
      </c>
      <c r="U21" s="435">
        <v>0</v>
      </c>
      <c r="V21" s="435">
        <v>0</v>
      </c>
      <c r="W21" s="435">
        <v>0</v>
      </c>
      <c r="X21" s="435">
        <v>0</v>
      </c>
      <c r="Y21" s="435">
        <v>0</v>
      </c>
      <c r="Z21" s="435">
        <v>0</v>
      </c>
      <c r="AA21" s="435">
        <v>0</v>
      </c>
      <c r="AB21" s="435">
        <v>0</v>
      </c>
      <c r="AC21" s="435">
        <v>0</v>
      </c>
      <c r="AD21" s="435">
        <v>0</v>
      </c>
      <c r="AE21" s="435">
        <v>0</v>
      </c>
      <c r="AF21" s="435">
        <v>0</v>
      </c>
      <c r="AG21" s="435">
        <v>0</v>
      </c>
      <c r="AH21" s="435">
        <v>0</v>
      </c>
    </row>
    <row r="22" spans="1:34" outlineLevel="1">
      <c r="A22" s="118"/>
      <c r="B22" s="118"/>
      <c r="C22" s="118"/>
      <c r="D22" s="118"/>
      <c r="E22" s="118"/>
      <c r="F22" s="118"/>
      <c r="G22" s="288"/>
      <c r="H22" s="289"/>
      <c r="I22" s="289"/>
      <c r="J22" s="288" t="s">
        <v>37</v>
      </c>
      <c r="K22" s="48" t="s">
        <v>78</v>
      </c>
      <c r="N22" s="435">
        <v>0</v>
      </c>
      <c r="O22" s="435">
        <v>0</v>
      </c>
      <c r="P22" s="435">
        <v>0</v>
      </c>
      <c r="Q22" s="435">
        <v>0</v>
      </c>
      <c r="R22" s="435">
        <v>0</v>
      </c>
      <c r="S22" s="435">
        <v>0</v>
      </c>
      <c r="T22" s="435">
        <v>0</v>
      </c>
      <c r="U22" s="435">
        <v>0</v>
      </c>
      <c r="V22" s="435">
        <v>0</v>
      </c>
      <c r="W22" s="435">
        <v>0</v>
      </c>
      <c r="X22" s="435">
        <v>0</v>
      </c>
      <c r="Y22" s="435">
        <v>0</v>
      </c>
      <c r="Z22" s="435">
        <v>0</v>
      </c>
      <c r="AA22" s="435">
        <v>0</v>
      </c>
      <c r="AB22" s="435">
        <v>0</v>
      </c>
      <c r="AC22" s="435">
        <v>0</v>
      </c>
      <c r="AD22" s="435">
        <v>0</v>
      </c>
      <c r="AE22" s="435">
        <v>0</v>
      </c>
      <c r="AF22" s="435">
        <v>0</v>
      </c>
      <c r="AG22" s="435">
        <v>0</v>
      </c>
      <c r="AH22" s="435">
        <v>0</v>
      </c>
    </row>
    <row r="23" spans="1:34" outlineLevel="1">
      <c r="A23" s="118"/>
      <c r="B23" s="118"/>
      <c r="C23" s="118"/>
      <c r="D23" s="118"/>
      <c r="E23" s="118"/>
      <c r="F23" s="118"/>
      <c r="G23" s="288"/>
      <c r="H23" s="289"/>
      <c r="I23" s="289"/>
      <c r="J23" s="288" t="s">
        <v>30</v>
      </c>
      <c r="K23" s="48" t="s">
        <v>83</v>
      </c>
      <c r="N23" s="435">
        <v>0</v>
      </c>
      <c r="O23" s="435">
        <v>0</v>
      </c>
      <c r="P23" s="435">
        <v>0</v>
      </c>
      <c r="Q23" s="435">
        <v>0</v>
      </c>
      <c r="R23" s="435">
        <v>0</v>
      </c>
      <c r="S23" s="435">
        <v>0</v>
      </c>
      <c r="T23" s="435">
        <v>0</v>
      </c>
      <c r="U23" s="435">
        <v>0</v>
      </c>
      <c r="V23" s="435">
        <v>0</v>
      </c>
      <c r="W23" s="435">
        <v>0</v>
      </c>
      <c r="X23" s="435">
        <v>0</v>
      </c>
      <c r="Y23" s="435">
        <v>0</v>
      </c>
      <c r="Z23" s="435">
        <v>0</v>
      </c>
      <c r="AA23" s="435">
        <v>0</v>
      </c>
      <c r="AB23" s="435">
        <v>0</v>
      </c>
      <c r="AC23" s="435">
        <v>0</v>
      </c>
      <c r="AD23" s="435">
        <v>0</v>
      </c>
      <c r="AE23" s="435">
        <v>0</v>
      </c>
      <c r="AF23" s="435">
        <v>0</v>
      </c>
      <c r="AG23" s="435">
        <v>0</v>
      </c>
      <c r="AH23" s="435">
        <v>0</v>
      </c>
    </row>
    <row r="24" spans="1:34" outlineLevel="1">
      <c r="A24" s="118"/>
      <c r="B24" s="118"/>
      <c r="C24" s="118"/>
      <c r="D24" s="118"/>
      <c r="E24" s="118"/>
      <c r="F24" s="118"/>
      <c r="G24" s="288"/>
      <c r="H24" s="289"/>
      <c r="I24" s="289"/>
      <c r="J24" s="288" t="s">
        <v>30</v>
      </c>
      <c r="K24" s="48" t="s">
        <v>78</v>
      </c>
      <c r="N24" s="435">
        <v>0</v>
      </c>
      <c r="O24" s="435">
        <v>0</v>
      </c>
      <c r="P24" s="435">
        <v>0</v>
      </c>
      <c r="Q24" s="435">
        <v>0</v>
      </c>
      <c r="R24" s="435">
        <v>0</v>
      </c>
      <c r="S24" s="435">
        <v>0</v>
      </c>
      <c r="T24" s="435">
        <v>0</v>
      </c>
      <c r="U24" s="435">
        <v>0</v>
      </c>
      <c r="V24" s="435">
        <v>0</v>
      </c>
      <c r="W24" s="435">
        <v>0</v>
      </c>
      <c r="X24" s="435">
        <v>0</v>
      </c>
      <c r="Y24" s="435">
        <v>0</v>
      </c>
      <c r="Z24" s="435">
        <v>0</v>
      </c>
      <c r="AA24" s="435">
        <v>0</v>
      </c>
      <c r="AB24" s="435">
        <v>0</v>
      </c>
      <c r="AC24" s="435">
        <v>0</v>
      </c>
      <c r="AD24" s="435">
        <v>0</v>
      </c>
      <c r="AE24" s="435">
        <v>0</v>
      </c>
      <c r="AF24" s="435">
        <v>0</v>
      </c>
      <c r="AG24" s="435">
        <v>0</v>
      </c>
      <c r="AH24" s="435">
        <v>0</v>
      </c>
    </row>
    <row r="25" spans="1:34" outlineLevel="1">
      <c r="A25" s="118"/>
      <c r="B25" s="118"/>
      <c r="C25" s="118"/>
      <c r="D25" s="118"/>
      <c r="E25" s="118"/>
      <c r="F25" s="118"/>
      <c r="G25" s="288"/>
      <c r="H25" s="289"/>
      <c r="I25" s="289"/>
      <c r="J25" s="288" t="s">
        <v>38</v>
      </c>
      <c r="K25" s="48" t="s">
        <v>83</v>
      </c>
      <c r="N25" s="435">
        <v>0</v>
      </c>
      <c r="O25" s="435">
        <v>102099.99999999999</v>
      </c>
      <c r="P25" s="435">
        <v>0</v>
      </c>
      <c r="Q25" s="435">
        <v>0</v>
      </c>
      <c r="R25" s="435">
        <v>0</v>
      </c>
      <c r="S25" s="435">
        <v>0</v>
      </c>
      <c r="T25" s="435">
        <v>0</v>
      </c>
      <c r="U25" s="435">
        <v>0</v>
      </c>
      <c r="V25" s="435">
        <v>0</v>
      </c>
      <c r="W25" s="435">
        <v>0</v>
      </c>
      <c r="X25" s="435">
        <v>0</v>
      </c>
      <c r="Y25" s="435">
        <v>0</v>
      </c>
      <c r="Z25" s="435">
        <v>0</v>
      </c>
      <c r="AA25" s="435">
        <v>0</v>
      </c>
      <c r="AB25" s="435">
        <v>0</v>
      </c>
      <c r="AC25" s="435">
        <v>0</v>
      </c>
      <c r="AD25" s="435">
        <v>0</v>
      </c>
      <c r="AE25" s="435">
        <v>0</v>
      </c>
      <c r="AF25" s="435">
        <v>0</v>
      </c>
      <c r="AG25" s="435">
        <v>0</v>
      </c>
      <c r="AH25" s="435">
        <v>0</v>
      </c>
    </row>
    <row r="26" spans="1:34" outlineLevel="1">
      <c r="A26" s="118"/>
      <c r="B26" s="118"/>
      <c r="C26" s="118"/>
      <c r="D26" s="118"/>
      <c r="E26" s="118"/>
      <c r="F26" s="118"/>
      <c r="G26" s="288"/>
      <c r="H26" s="289"/>
      <c r="I26" s="289"/>
      <c r="J26" s="335" t="s">
        <v>38</v>
      </c>
      <c r="K26" s="336" t="s">
        <v>78</v>
      </c>
      <c r="L26" s="85"/>
      <c r="M26" s="368"/>
      <c r="N26" s="436">
        <v>0</v>
      </c>
      <c r="O26" s="436">
        <v>0</v>
      </c>
      <c r="P26" s="436">
        <v>0</v>
      </c>
      <c r="Q26" s="436">
        <v>0</v>
      </c>
      <c r="R26" s="436">
        <v>0</v>
      </c>
      <c r="S26" s="436">
        <v>0</v>
      </c>
      <c r="T26" s="436">
        <v>0</v>
      </c>
      <c r="U26" s="436">
        <v>0</v>
      </c>
      <c r="V26" s="436">
        <v>0</v>
      </c>
      <c r="W26" s="436">
        <v>0</v>
      </c>
      <c r="X26" s="436">
        <v>0</v>
      </c>
      <c r="Y26" s="436">
        <v>0</v>
      </c>
      <c r="Z26" s="436">
        <v>0</v>
      </c>
      <c r="AA26" s="436">
        <v>0</v>
      </c>
      <c r="AB26" s="436">
        <v>0</v>
      </c>
      <c r="AC26" s="436">
        <v>0</v>
      </c>
      <c r="AD26" s="436">
        <v>0</v>
      </c>
      <c r="AE26" s="436">
        <v>0</v>
      </c>
      <c r="AF26" s="436">
        <v>0</v>
      </c>
      <c r="AG26" s="436">
        <v>0</v>
      </c>
      <c r="AH26" s="436">
        <v>0</v>
      </c>
    </row>
    <row r="27" spans="1:34" outlineLevel="1">
      <c r="A27" s="118"/>
      <c r="B27" s="118"/>
      <c r="C27" s="118"/>
      <c r="D27" s="118"/>
      <c r="E27" s="118"/>
      <c r="F27" s="118"/>
      <c r="G27" s="298" t="s">
        <v>9</v>
      </c>
      <c r="H27" s="299"/>
      <c r="I27" s="299"/>
      <c r="J27" s="288" t="s">
        <v>33</v>
      </c>
      <c r="K27" s="48" t="s">
        <v>83</v>
      </c>
      <c r="L27" s="1"/>
      <c r="N27" s="435">
        <v>0</v>
      </c>
      <c r="O27" s="435">
        <v>0</v>
      </c>
      <c r="P27" s="435">
        <v>0</v>
      </c>
      <c r="Q27" s="435">
        <v>0</v>
      </c>
      <c r="R27" s="435">
        <v>0</v>
      </c>
      <c r="S27" s="435">
        <v>0</v>
      </c>
      <c r="T27" s="435">
        <v>0</v>
      </c>
      <c r="U27" s="435">
        <v>0</v>
      </c>
      <c r="V27" s="435">
        <v>0</v>
      </c>
      <c r="W27" s="435">
        <v>0</v>
      </c>
      <c r="X27" s="435">
        <v>0</v>
      </c>
      <c r="Y27" s="435">
        <v>0</v>
      </c>
      <c r="Z27" s="435">
        <v>0</v>
      </c>
      <c r="AA27" s="435">
        <v>0</v>
      </c>
      <c r="AB27" s="435">
        <v>0</v>
      </c>
      <c r="AC27" s="435">
        <v>0</v>
      </c>
      <c r="AD27" s="435">
        <v>0</v>
      </c>
      <c r="AE27" s="435">
        <v>0</v>
      </c>
      <c r="AF27" s="435">
        <v>0</v>
      </c>
      <c r="AG27" s="435">
        <v>0</v>
      </c>
      <c r="AH27" s="435">
        <v>0</v>
      </c>
    </row>
    <row r="28" spans="1:34" outlineLevel="1">
      <c r="A28" s="118"/>
      <c r="B28" s="118"/>
      <c r="C28" s="118"/>
      <c r="D28" s="118"/>
      <c r="E28" s="118"/>
      <c r="F28" s="118"/>
      <c r="G28" s="288"/>
      <c r="H28" s="289"/>
      <c r="I28" s="289"/>
      <c r="J28" s="288" t="s">
        <v>33</v>
      </c>
      <c r="K28" s="48" t="s">
        <v>78</v>
      </c>
      <c r="N28" s="435">
        <v>0</v>
      </c>
      <c r="O28" s="435">
        <v>0</v>
      </c>
      <c r="P28" s="435">
        <v>0</v>
      </c>
      <c r="Q28" s="435">
        <v>0</v>
      </c>
      <c r="R28" s="435">
        <v>0</v>
      </c>
      <c r="S28" s="435">
        <v>0</v>
      </c>
      <c r="T28" s="435">
        <v>0</v>
      </c>
      <c r="U28" s="435">
        <v>0</v>
      </c>
      <c r="V28" s="435">
        <v>0</v>
      </c>
      <c r="W28" s="435">
        <v>0</v>
      </c>
      <c r="X28" s="435">
        <v>0</v>
      </c>
      <c r="Y28" s="435">
        <v>0</v>
      </c>
      <c r="Z28" s="435">
        <v>0</v>
      </c>
      <c r="AA28" s="435">
        <v>0</v>
      </c>
      <c r="AB28" s="435">
        <v>0</v>
      </c>
      <c r="AC28" s="435">
        <v>0</v>
      </c>
      <c r="AD28" s="435">
        <v>0</v>
      </c>
      <c r="AE28" s="435">
        <v>0</v>
      </c>
      <c r="AF28" s="435">
        <v>0</v>
      </c>
      <c r="AG28" s="435">
        <v>0</v>
      </c>
      <c r="AH28" s="435">
        <v>0</v>
      </c>
    </row>
    <row r="29" spans="1:34" outlineLevel="1">
      <c r="A29" s="118"/>
      <c r="B29" s="118"/>
      <c r="C29" s="118"/>
      <c r="D29" s="118"/>
      <c r="E29" s="118"/>
      <c r="F29" s="118"/>
      <c r="G29" s="288"/>
      <c r="H29" s="289"/>
      <c r="I29" s="289"/>
      <c r="J29" s="288" t="s">
        <v>31</v>
      </c>
      <c r="K29" s="48" t="s">
        <v>83</v>
      </c>
      <c r="N29" s="435">
        <v>0</v>
      </c>
      <c r="O29" s="435">
        <v>787288.17680768855</v>
      </c>
      <c r="P29" s="435">
        <v>4773622.2451659245</v>
      </c>
      <c r="Q29" s="435">
        <v>91709.932406967098</v>
      </c>
      <c r="R29" s="435">
        <v>5159745.7952085361</v>
      </c>
      <c r="S29" s="435">
        <v>114722.63237790141</v>
      </c>
      <c r="T29" s="435">
        <v>0</v>
      </c>
      <c r="U29" s="435">
        <v>0</v>
      </c>
      <c r="V29" s="435">
        <v>0</v>
      </c>
      <c r="W29" s="435">
        <v>0</v>
      </c>
      <c r="X29" s="435">
        <v>0</v>
      </c>
      <c r="Y29" s="435">
        <v>0</v>
      </c>
      <c r="Z29" s="435">
        <v>0</v>
      </c>
      <c r="AA29" s="435">
        <v>0</v>
      </c>
      <c r="AB29" s="435">
        <v>0</v>
      </c>
      <c r="AC29" s="435">
        <v>0</v>
      </c>
      <c r="AD29" s="435">
        <v>0</v>
      </c>
      <c r="AE29" s="435">
        <v>0</v>
      </c>
      <c r="AF29" s="435">
        <v>0</v>
      </c>
      <c r="AG29" s="435">
        <v>0</v>
      </c>
      <c r="AH29" s="435">
        <v>0</v>
      </c>
    </row>
    <row r="30" spans="1:34" outlineLevel="1">
      <c r="A30" s="118"/>
      <c r="B30" s="118"/>
      <c r="C30" s="118"/>
      <c r="D30" s="118"/>
      <c r="E30" s="118"/>
      <c r="F30" s="118"/>
      <c r="G30" s="288"/>
      <c r="H30" s="289"/>
      <c r="I30" s="289"/>
      <c r="J30" s="288" t="s">
        <v>31</v>
      </c>
      <c r="K30" s="48" t="s">
        <v>78</v>
      </c>
      <c r="N30" s="435">
        <v>0</v>
      </c>
      <c r="O30" s="435">
        <v>108079.51709828638</v>
      </c>
      <c r="P30" s="435">
        <v>290083.45828154555</v>
      </c>
      <c r="Q30" s="435">
        <v>298740.87590076326</v>
      </c>
      <c r="R30" s="435">
        <v>489001.91773309116</v>
      </c>
      <c r="S30" s="435">
        <v>500244.7357061255</v>
      </c>
      <c r="T30" s="435">
        <v>459553.04448399297</v>
      </c>
      <c r="U30" s="435">
        <v>459553.04448399297</v>
      </c>
      <c r="V30" s="435">
        <v>459553.04448399297</v>
      </c>
      <c r="W30" s="435">
        <v>459553.04448399297</v>
      </c>
      <c r="X30" s="435">
        <v>459553.04448399297</v>
      </c>
      <c r="Y30" s="435">
        <v>418085.2856280721</v>
      </c>
      <c r="Z30" s="435">
        <v>409821.5111114796</v>
      </c>
      <c r="AA30" s="435">
        <v>403218.39597817796</v>
      </c>
      <c r="AB30" s="435">
        <v>373152.04928149487</v>
      </c>
      <c r="AC30" s="435">
        <v>362827.01236748375</v>
      </c>
      <c r="AD30" s="435">
        <v>360772.70988156769</v>
      </c>
      <c r="AE30" s="435">
        <v>355771.82080585643</v>
      </c>
      <c r="AF30" s="435">
        <v>354854.03974683321</v>
      </c>
      <c r="AG30" s="435">
        <v>354854.03974683321</v>
      </c>
      <c r="AH30" s="435">
        <v>354854.03974683321</v>
      </c>
    </row>
    <row r="31" spans="1:34" outlineLevel="1">
      <c r="A31" s="118"/>
      <c r="B31" s="118"/>
      <c r="C31" s="118"/>
      <c r="D31" s="118"/>
      <c r="E31" s="118"/>
      <c r="F31" s="118"/>
      <c r="G31" s="288"/>
      <c r="H31" s="289"/>
      <c r="I31" s="289"/>
      <c r="J31" s="288" t="s">
        <v>34</v>
      </c>
      <c r="K31" s="48" t="s">
        <v>83</v>
      </c>
      <c r="N31" s="435">
        <v>0</v>
      </c>
      <c r="O31" s="435">
        <v>312518.00333907327</v>
      </c>
      <c r="P31" s="435">
        <v>90343.949307471295</v>
      </c>
      <c r="Q31" s="435">
        <v>78968.680469042563</v>
      </c>
      <c r="R31" s="435">
        <v>73789.716077723671</v>
      </c>
      <c r="S31" s="435">
        <v>65203.92515062615</v>
      </c>
      <c r="T31" s="435">
        <v>0</v>
      </c>
      <c r="U31" s="435">
        <v>0</v>
      </c>
      <c r="V31" s="435">
        <v>0</v>
      </c>
      <c r="W31" s="435">
        <v>0</v>
      </c>
      <c r="X31" s="435">
        <v>0</v>
      </c>
      <c r="Y31" s="435">
        <v>0</v>
      </c>
      <c r="Z31" s="435">
        <v>0</v>
      </c>
      <c r="AA31" s="435">
        <v>0</v>
      </c>
      <c r="AB31" s="435">
        <v>0</v>
      </c>
      <c r="AC31" s="435">
        <v>0</v>
      </c>
      <c r="AD31" s="435">
        <v>0</v>
      </c>
      <c r="AE31" s="435">
        <v>0</v>
      </c>
      <c r="AF31" s="435">
        <v>0</v>
      </c>
      <c r="AG31" s="435">
        <v>0</v>
      </c>
      <c r="AH31" s="435">
        <v>0</v>
      </c>
    </row>
    <row r="32" spans="1:34" outlineLevel="1">
      <c r="A32" s="118"/>
      <c r="B32" s="118"/>
      <c r="C32" s="118"/>
      <c r="D32" s="118"/>
      <c r="E32" s="118"/>
      <c r="F32" s="118"/>
      <c r="G32" s="288"/>
      <c r="H32" s="289"/>
      <c r="I32" s="289"/>
      <c r="J32" s="288" t="s">
        <v>34</v>
      </c>
      <c r="K32" s="48" t="s">
        <v>78</v>
      </c>
      <c r="N32" s="435">
        <v>0</v>
      </c>
      <c r="O32" s="435">
        <v>14561.848856079523</v>
      </c>
      <c r="P32" s="435">
        <v>23596.243786826653</v>
      </c>
      <c r="Q32" s="435">
        <v>31493.111833730909</v>
      </c>
      <c r="R32" s="435">
        <v>38872.083441503273</v>
      </c>
      <c r="S32" s="435">
        <v>45392.47595656589</v>
      </c>
      <c r="T32" s="435">
        <v>45392.47595656589</v>
      </c>
      <c r="U32" s="435">
        <v>45392.47595656589</v>
      </c>
      <c r="V32" s="435">
        <v>45392.47595656589</v>
      </c>
      <c r="W32" s="435">
        <v>45392.47595656589</v>
      </c>
      <c r="X32" s="435">
        <v>45392.47595656589</v>
      </c>
      <c r="Y32" s="435">
        <v>36393.944259762306</v>
      </c>
      <c r="Z32" s="435">
        <v>27359.549329015172</v>
      </c>
      <c r="AA32" s="435">
        <v>19462.681282110912</v>
      </c>
      <c r="AB32" s="435">
        <v>12083.709674338548</v>
      </c>
      <c r="AC32" s="435">
        <v>5563.3171592759336</v>
      </c>
      <c r="AD32" s="435">
        <v>5563.3171592759336</v>
      </c>
      <c r="AE32" s="435">
        <v>5563.3171592759336</v>
      </c>
      <c r="AF32" s="435">
        <v>5563.3171592759336</v>
      </c>
      <c r="AG32" s="435">
        <v>5563.3171592759336</v>
      </c>
      <c r="AH32" s="435">
        <v>5563.3171592759336</v>
      </c>
    </row>
    <row r="33" spans="1:34" outlineLevel="1">
      <c r="A33" s="118"/>
      <c r="B33" s="118"/>
      <c r="C33" s="118"/>
      <c r="D33" s="118"/>
      <c r="E33" s="118"/>
      <c r="F33" s="118"/>
      <c r="G33" s="288"/>
      <c r="H33" s="289"/>
      <c r="I33" s="289"/>
      <c r="J33" s="288" t="s">
        <v>29</v>
      </c>
      <c r="K33" s="48" t="s">
        <v>83</v>
      </c>
      <c r="N33" s="435">
        <v>0</v>
      </c>
      <c r="O33" s="435">
        <v>1782.0255642506654</v>
      </c>
      <c r="P33" s="435">
        <v>172.8595419614492</v>
      </c>
      <c r="Q33" s="435">
        <v>274.74641384619224</v>
      </c>
      <c r="R33" s="435">
        <v>341.0768197476084</v>
      </c>
      <c r="S33" s="435">
        <v>103.158757641634</v>
      </c>
      <c r="T33" s="435">
        <v>0</v>
      </c>
      <c r="U33" s="435">
        <v>0</v>
      </c>
      <c r="V33" s="435">
        <v>0</v>
      </c>
      <c r="W33" s="435">
        <v>0</v>
      </c>
      <c r="X33" s="435">
        <v>0</v>
      </c>
      <c r="Y33" s="435">
        <v>0</v>
      </c>
      <c r="Z33" s="435">
        <v>0</v>
      </c>
      <c r="AA33" s="435">
        <v>0</v>
      </c>
      <c r="AB33" s="435">
        <v>0</v>
      </c>
      <c r="AC33" s="435">
        <v>0</v>
      </c>
      <c r="AD33" s="435">
        <v>0</v>
      </c>
      <c r="AE33" s="435">
        <v>0</v>
      </c>
      <c r="AF33" s="435">
        <v>0</v>
      </c>
      <c r="AG33" s="435">
        <v>0</v>
      </c>
      <c r="AH33" s="435">
        <v>0</v>
      </c>
    </row>
    <row r="34" spans="1:34" outlineLevel="1">
      <c r="A34" s="118"/>
      <c r="B34" s="118"/>
      <c r="C34" s="118"/>
      <c r="D34" s="118"/>
      <c r="E34" s="118"/>
      <c r="F34" s="118"/>
      <c r="G34" s="288"/>
      <c r="H34" s="289"/>
      <c r="I34" s="289"/>
      <c r="J34" s="288" t="s">
        <v>29</v>
      </c>
      <c r="K34" s="48" t="s">
        <v>78</v>
      </c>
      <c r="N34" s="435">
        <v>0</v>
      </c>
      <c r="O34" s="435">
        <v>445.50639106266635</v>
      </c>
      <c r="P34" s="435">
        <v>488.72127655302864</v>
      </c>
      <c r="Q34" s="435">
        <v>557.40788001457668</v>
      </c>
      <c r="R34" s="435">
        <v>614.25401663917808</v>
      </c>
      <c r="S34" s="435">
        <v>194.53731498692025</v>
      </c>
      <c r="T34" s="435">
        <v>151.32242949655796</v>
      </c>
      <c r="U34" s="435">
        <v>82.635826035009899</v>
      </c>
      <c r="V34" s="435">
        <v>44.738401618608961</v>
      </c>
      <c r="W34" s="435">
        <v>18.948712208200465</v>
      </c>
      <c r="X34" s="435">
        <v>18.948712208200465</v>
      </c>
      <c r="Y34" s="435">
        <v>18.948712208200465</v>
      </c>
      <c r="Z34" s="435">
        <v>18.948712208200465</v>
      </c>
      <c r="AA34" s="435">
        <v>18.948712208200465</v>
      </c>
      <c r="AB34" s="435">
        <v>0</v>
      </c>
      <c r="AC34" s="435">
        <v>0</v>
      </c>
      <c r="AD34" s="435">
        <v>0</v>
      </c>
      <c r="AE34" s="435">
        <v>0</v>
      </c>
      <c r="AF34" s="435">
        <v>0</v>
      </c>
      <c r="AG34" s="435">
        <v>0</v>
      </c>
      <c r="AH34" s="435">
        <v>0</v>
      </c>
    </row>
    <row r="35" spans="1:34" outlineLevel="1">
      <c r="A35" s="118"/>
      <c r="B35" s="118"/>
      <c r="C35" s="118"/>
      <c r="D35" s="118"/>
      <c r="E35" s="118"/>
      <c r="F35" s="118"/>
      <c r="G35" s="288"/>
      <c r="H35" s="289"/>
      <c r="I35" s="289"/>
      <c r="J35" s="288" t="s">
        <v>32</v>
      </c>
      <c r="K35" s="48" t="s">
        <v>83</v>
      </c>
      <c r="N35" s="435">
        <v>0</v>
      </c>
      <c r="O35" s="435">
        <v>153317.35070076148</v>
      </c>
      <c r="P35" s="435">
        <v>57767.686287194738</v>
      </c>
      <c r="Q35" s="435">
        <v>21109.630164756483</v>
      </c>
      <c r="R35" s="435">
        <v>21597.664341968761</v>
      </c>
      <c r="S35" s="435">
        <v>98558.934654055818</v>
      </c>
      <c r="T35" s="435">
        <v>0</v>
      </c>
      <c r="U35" s="435">
        <v>0</v>
      </c>
      <c r="V35" s="435">
        <v>0</v>
      </c>
      <c r="W35" s="435">
        <v>0</v>
      </c>
      <c r="X35" s="435">
        <v>0</v>
      </c>
      <c r="Y35" s="435">
        <v>0</v>
      </c>
      <c r="Z35" s="435">
        <v>0</v>
      </c>
      <c r="AA35" s="435">
        <v>0</v>
      </c>
      <c r="AB35" s="435">
        <v>0</v>
      </c>
      <c r="AC35" s="435">
        <v>0</v>
      </c>
      <c r="AD35" s="435">
        <v>0</v>
      </c>
      <c r="AE35" s="435">
        <v>0</v>
      </c>
      <c r="AF35" s="435">
        <v>0</v>
      </c>
      <c r="AG35" s="435">
        <v>0</v>
      </c>
      <c r="AH35" s="435">
        <v>0</v>
      </c>
    </row>
    <row r="36" spans="1:34" outlineLevel="1">
      <c r="A36" s="118"/>
      <c r="B36" s="118"/>
      <c r="C36" s="118"/>
      <c r="D36" s="118"/>
      <c r="E36" s="118"/>
      <c r="F36" s="118"/>
      <c r="G36" s="288"/>
      <c r="H36" s="289"/>
      <c r="I36" s="289"/>
      <c r="J36" s="288" t="s">
        <v>32</v>
      </c>
      <c r="K36" s="48" t="s">
        <v>78</v>
      </c>
      <c r="N36" s="435">
        <v>0</v>
      </c>
      <c r="O36" s="435">
        <v>30474.94317573186</v>
      </c>
      <c r="P36" s="435">
        <v>36085.549249551725</v>
      </c>
      <c r="Q36" s="435">
        <v>37975.100771358324</v>
      </c>
      <c r="R36" s="435">
        <v>39905.227513997917</v>
      </c>
      <c r="S36" s="435">
        <v>40726.967982002905</v>
      </c>
      <c r="T36" s="435">
        <v>20986.510728720095</v>
      </c>
      <c r="U36" s="435">
        <v>20986.510728720095</v>
      </c>
      <c r="V36" s="435">
        <v>20986.510728720095</v>
      </c>
      <c r="W36" s="435">
        <v>20986.510728720095</v>
      </c>
      <c r="X36" s="435">
        <v>20986.510728720095</v>
      </c>
      <c r="Y36" s="435">
        <v>19051.035710994125</v>
      </c>
      <c r="Z36" s="435">
        <v>13481.970275899161</v>
      </c>
      <c r="AA36" s="435">
        <v>11647.771627759819</v>
      </c>
      <c r="AB36" s="435">
        <v>9775.0548080095505</v>
      </c>
      <c r="AC36" s="435">
        <v>214.83544318443447</v>
      </c>
      <c r="AD36" s="435">
        <v>214.83544318443447</v>
      </c>
      <c r="AE36" s="435">
        <v>214.83544318443447</v>
      </c>
      <c r="AF36" s="435">
        <v>214.83544318443447</v>
      </c>
      <c r="AG36" s="435">
        <v>214.83544318443447</v>
      </c>
      <c r="AH36" s="435">
        <v>214.83544318443447</v>
      </c>
    </row>
    <row r="37" spans="1:34" outlineLevel="1">
      <c r="A37" s="118"/>
      <c r="B37" s="118"/>
      <c r="C37" s="118"/>
      <c r="D37" s="118"/>
      <c r="E37" s="118"/>
      <c r="F37" s="118"/>
      <c r="G37" s="288"/>
      <c r="H37" s="289"/>
      <c r="I37" s="289"/>
      <c r="J37" s="288" t="s">
        <v>36</v>
      </c>
      <c r="K37" s="48" t="s">
        <v>83</v>
      </c>
      <c r="N37" s="435">
        <v>0</v>
      </c>
      <c r="O37" s="435">
        <v>200680.81026088522</v>
      </c>
      <c r="P37" s="435">
        <v>161056.99274168845</v>
      </c>
      <c r="Q37" s="435">
        <v>207767.99681572741</v>
      </c>
      <c r="R37" s="435">
        <v>101341.07907380493</v>
      </c>
      <c r="S37" s="435">
        <v>220052.61863793465</v>
      </c>
      <c r="T37" s="435">
        <v>0</v>
      </c>
      <c r="U37" s="435">
        <v>0</v>
      </c>
      <c r="V37" s="435">
        <v>0</v>
      </c>
      <c r="W37" s="435">
        <v>0</v>
      </c>
      <c r="X37" s="435">
        <v>0</v>
      </c>
      <c r="Y37" s="435">
        <v>0</v>
      </c>
      <c r="Z37" s="435">
        <v>0</v>
      </c>
      <c r="AA37" s="435">
        <v>0</v>
      </c>
      <c r="AB37" s="435">
        <v>0</v>
      </c>
      <c r="AC37" s="435">
        <v>0</v>
      </c>
      <c r="AD37" s="435">
        <v>0</v>
      </c>
      <c r="AE37" s="435">
        <v>0</v>
      </c>
      <c r="AF37" s="435">
        <v>0</v>
      </c>
      <c r="AG37" s="435">
        <v>0</v>
      </c>
      <c r="AH37" s="435">
        <v>0</v>
      </c>
    </row>
    <row r="38" spans="1:34" outlineLevel="1">
      <c r="A38" s="118"/>
      <c r="B38" s="118"/>
      <c r="C38" s="118"/>
      <c r="D38" s="118"/>
      <c r="E38" s="118"/>
      <c r="F38" s="118"/>
      <c r="G38" s="288"/>
      <c r="H38" s="289"/>
      <c r="I38" s="289"/>
      <c r="J38" s="288" t="s">
        <v>36</v>
      </c>
      <c r="K38" s="48" t="s">
        <v>78</v>
      </c>
      <c r="N38" s="435">
        <v>0</v>
      </c>
      <c r="O38" s="435">
        <v>42007.282859378502</v>
      </c>
      <c r="P38" s="435">
        <v>77279.320724521138</v>
      </c>
      <c r="Q38" s="435">
        <v>121956.44074581189</v>
      </c>
      <c r="R38" s="435">
        <v>145790.54226720048</v>
      </c>
      <c r="S38" s="435">
        <v>168374.36127828105</v>
      </c>
      <c r="T38" s="435">
        <v>120480.66890121711</v>
      </c>
      <c r="U38" s="435">
        <v>79754.9502537269</v>
      </c>
      <c r="V38" s="435">
        <v>45524.384256834514</v>
      </c>
      <c r="W38" s="435">
        <v>26760.874368863926</v>
      </c>
      <c r="X38" s="435">
        <v>16002.22671901061</v>
      </c>
      <c r="Y38" s="435">
        <v>14661.573004127691</v>
      </c>
      <c r="Z38" s="435">
        <v>13065.025152334561</v>
      </c>
      <c r="AA38" s="435">
        <v>10121.312915053662</v>
      </c>
      <c r="AB38" s="435">
        <v>9120.5340836785726</v>
      </c>
      <c r="AC38" s="435">
        <v>0</v>
      </c>
      <c r="AD38" s="435">
        <v>0</v>
      </c>
      <c r="AE38" s="435">
        <v>0</v>
      </c>
      <c r="AF38" s="435">
        <v>0</v>
      </c>
      <c r="AG38" s="435">
        <v>0</v>
      </c>
      <c r="AH38" s="435">
        <v>0</v>
      </c>
    </row>
    <row r="39" spans="1:34" outlineLevel="1">
      <c r="A39" s="118"/>
      <c r="B39" s="118"/>
      <c r="C39" s="118"/>
      <c r="D39" s="118"/>
      <c r="E39" s="118"/>
      <c r="F39" s="118"/>
      <c r="G39" s="288"/>
      <c r="H39" s="289"/>
      <c r="I39" s="289"/>
      <c r="J39" s="288" t="s">
        <v>37</v>
      </c>
      <c r="K39" s="48" t="s">
        <v>83</v>
      </c>
      <c r="N39" s="435">
        <v>0</v>
      </c>
      <c r="O39" s="435">
        <v>0</v>
      </c>
      <c r="P39" s="435">
        <v>0</v>
      </c>
      <c r="Q39" s="435">
        <v>0</v>
      </c>
      <c r="R39" s="435">
        <v>0</v>
      </c>
      <c r="S39" s="435">
        <v>0</v>
      </c>
      <c r="T39" s="435">
        <v>0</v>
      </c>
      <c r="U39" s="435">
        <v>0</v>
      </c>
      <c r="V39" s="435">
        <v>0</v>
      </c>
      <c r="W39" s="435">
        <v>0</v>
      </c>
      <c r="X39" s="435">
        <v>0</v>
      </c>
      <c r="Y39" s="435">
        <v>0</v>
      </c>
      <c r="Z39" s="435">
        <v>0</v>
      </c>
      <c r="AA39" s="435">
        <v>0</v>
      </c>
      <c r="AB39" s="435">
        <v>0</v>
      </c>
      <c r="AC39" s="435">
        <v>0</v>
      </c>
      <c r="AD39" s="435">
        <v>0</v>
      </c>
      <c r="AE39" s="435">
        <v>0</v>
      </c>
      <c r="AF39" s="435">
        <v>0</v>
      </c>
      <c r="AG39" s="435">
        <v>0</v>
      </c>
      <c r="AH39" s="435">
        <v>0</v>
      </c>
    </row>
    <row r="40" spans="1:34" outlineLevel="1">
      <c r="A40" s="118"/>
      <c r="B40" s="118"/>
      <c r="C40" s="118"/>
      <c r="D40" s="118"/>
      <c r="E40" s="118"/>
      <c r="F40" s="118"/>
      <c r="G40" s="288"/>
      <c r="H40" s="289"/>
      <c r="I40" s="289"/>
      <c r="J40" s="288" t="s">
        <v>37</v>
      </c>
      <c r="K40" s="48" t="s">
        <v>78</v>
      </c>
      <c r="N40" s="435">
        <v>0</v>
      </c>
      <c r="O40" s="435">
        <v>0</v>
      </c>
      <c r="P40" s="435">
        <v>0</v>
      </c>
      <c r="Q40" s="435">
        <v>0</v>
      </c>
      <c r="R40" s="435">
        <v>0</v>
      </c>
      <c r="S40" s="435">
        <v>0</v>
      </c>
      <c r="T40" s="435">
        <v>0</v>
      </c>
      <c r="U40" s="435">
        <v>0</v>
      </c>
      <c r="V40" s="435">
        <v>0</v>
      </c>
      <c r="W40" s="435">
        <v>0</v>
      </c>
      <c r="X40" s="435">
        <v>0</v>
      </c>
      <c r="Y40" s="435">
        <v>0</v>
      </c>
      <c r="Z40" s="435">
        <v>0</v>
      </c>
      <c r="AA40" s="435">
        <v>0</v>
      </c>
      <c r="AB40" s="435">
        <v>0</v>
      </c>
      <c r="AC40" s="435">
        <v>0</v>
      </c>
      <c r="AD40" s="435">
        <v>0</v>
      </c>
      <c r="AE40" s="435">
        <v>0</v>
      </c>
      <c r="AF40" s="435">
        <v>0</v>
      </c>
      <c r="AG40" s="435">
        <v>0</v>
      </c>
      <c r="AH40" s="435">
        <v>0</v>
      </c>
    </row>
    <row r="41" spans="1:34" outlineLevel="1">
      <c r="A41" s="118"/>
      <c r="B41" s="118"/>
      <c r="C41" s="118"/>
      <c r="D41" s="118"/>
      <c r="E41" s="118"/>
      <c r="F41" s="118"/>
      <c r="G41" s="288"/>
      <c r="H41" s="289"/>
      <c r="I41" s="289"/>
      <c r="J41" s="288" t="s">
        <v>30</v>
      </c>
      <c r="K41" s="48" t="s">
        <v>83</v>
      </c>
      <c r="N41" s="435">
        <v>0</v>
      </c>
      <c r="O41" s="435">
        <v>0</v>
      </c>
      <c r="P41" s="435">
        <v>0</v>
      </c>
      <c r="Q41" s="435">
        <v>0</v>
      </c>
      <c r="R41" s="435">
        <v>0</v>
      </c>
      <c r="S41" s="435">
        <v>0</v>
      </c>
      <c r="T41" s="435">
        <v>0</v>
      </c>
      <c r="U41" s="435">
        <v>0</v>
      </c>
      <c r="V41" s="435">
        <v>0</v>
      </c>
      <c r="W41" s="435">
        <v>0</v>
      </c>
      <c r="X41" s="435">
        <v>0</v>
      </c>
      <c r="Y41" s="435">
        <v>0</v>
      </c>
      <c r="Z41" s="435">
        <v>0</v>
      </c>
      <c r="AA41" s="435">
        <v>0</v>
      </c>
      <c r="AB41" s="435">
        <v>0</v>
      </c>
      <c r="AC41" s="435">
        <v>0</v>
      </c>
      <c r="AD41" s="435">
        <v>0</v>
      </c>
      <c r="AE41" s="435">
        <v>0</v>
      </c>
      <c r="AF41" s="435">
        <v>0</v>
      </c>
      <c r="AG41" s="435">
        <v>0</v>
      </c>
      <c r="AH41" s="435">
        <v>0</v>
      </c>
    </row>
    <row r="42" spans="1:34" outlineLevel="1">
      <c r="A42" s="118"/>
      <c r="B42" s="118"/>
      <c r="C42" s="118"/>
      <c r="D42" s="118"/>
      <c r="E42" s="118"/>
      <c r="F42" s="118"/>
      <c r="G42" s="288"/>
      <c r="H42" s="289"/>
      <c r="I42" s="289"/>
      <c r="J42" s="288" t="s">
        <v>30</v>
      </c>
      <c r="K42" s="48" t="s">
        <v>78</v>
      </c>
      <c r="N42" s="435">
        <v>0</v>
      </c>
      <c r="O42" s="435">
        <v>0</v>
      </c>
      <c r="P42" s="435">
        <v>0</v>
      </c>
      <c r="Q42" s="435">
        <v>0</v>
      </c>
      <c r="R42" s="435">
        <v>0</v>
      </c>
      <c r="S42" s="435">
        <v>0</v>
      </c>
      <c r="T42" s="435">
        <v>0</v>
      </c>
      <c r="U42" s="435">
        <v>0</v>
      </c>
      <c r="V42" s="435">
        <v>0</v>
      </c>
      <c r="W42" s="435">
        <v>0</v>
      </c>
      <c r="X42" s="435">
        <v>0</v>
      </c>
      <c r="Y42" s="435">
        <v>0</v>
      </c>
      <c r="Z42" s="435">
        <v>0</v>
      </c>
      <c r="AA42" s="435">
        <v>0</v>
      </c>
      <c r="AB42" s="435">
        <v>0</v>
      </c>
      <c r="AC42" s="435">
        <v>0</v>
      </c>
      <c r="AD42" s="435">
        <v>0</v>
      </c>
      <c r="AE42" s="435">
        <v>0</v>
      </c>
      <c r="AF42" s="435">
        <v>0</v>
      </c>
      <c r="AG42" s="435">
        <v>0</v>
      </c>
      <c r="AH42" s="435">
        <v>0</v>
      </c>
    </row>
    <row r="43" spans="1:34" outlineLevel="1">
      <c r="A43" s="118"/>
      <c r="B43" s="118"/>
      <c r="C43" s="118"/>
      <c r="D43" s="118"/>
      <c r="E43" s="118"/>
      <c r="F43" s="118"/>
      <c r="G43" s="288"/>
      <c r="H43" s="289"/>
      <c r="I43" s="289"/>
      <c r="J43" s="288" t="s">
        <v>38</v>
      </c>
      <c r="K43" s="48" t="s">
        <v>83</v>
      </c>
      <c r="N43" s="435">
        <v>0</v>
      </c>
      <c r="O43" s="435">
        <v>0</v>
      </c>
      <c r="P43" s="435">
        <v>0</v>
      </c>
      <c r="Q43" s="435">
        <v>0</v>
      </c>
      <c r="R43" s="435">
        <v>0</v>
      </c>
      <c r="S43" s="435">
        <v>0</v>
      </c>
      <c r="T43" s="435">
        <v>0</v>
      </c>
      <c r="U43" s="435">
        <v>0</v>
      </c>
      <c r="V43" s="435">
        <v>0</v>
      </c>
      <c r="W43" s="435">
        <v>0</v>
      </c>
      <c r="X43" s="435">
        <v>0</v>
      </c>
      <c r="Y43" s="435">
        <v>0</v>
      </c>
      <c r="Z43" s="435">
        <v>0</v>
      </c>
      <c r="AA43" s="435">
        <v>0</v>
      </c>
      <c r="AB43" s="435">
        <v>0</v>
      </c>
      <c r="AC43" s="435">
        <v>0</v>
      </c>
      <c r="AD43" s="435">
        <v>0</v>
      </c>
      <c r="AE43" s="435">
        <v>0</v>
      </c>
      <c r="AF43" s="435">
        <v>0</v>
      </c>
      <c r="AG43" s="435">
        <v>0</v>
      </c>
      <c r="AH43" s="435">
        <v>0</v>
      </c>
    </row>
    <row r="44" spans="1:34" outlineLevel="1">
      <c r="A44" s="118"/>
      <c r="B44" s="118"/>
      <c r="C44" s="118"/>
      <c r="D44" s="118"/>
      <c r="E44" s="118"/>
      <c r="F44" s="118"/>
      <c r="G44" s="288"/>
      <c r="H44" s="289"/>
      <c r="I44" s="289"/>
      <c r="J44" s="335" t="s">
        <v>38</v>
      </c>
      <c r="K44" s="336" t="s">
        <v>78</v>
      </c>
      <c r="M44" s="368"/>
      <c r="N44" s="436">
        <v>0</v>
      </c>
      <c r="O44" s="436">
        <v>0</v>
      </c>
      <c r="P44" s="436">
        <v>0</v>
      </c>
      <c r="Q44" s="436">
        <v>0</v>
      </c>
      <c r="R44" s="436">
        <v>0</v>
      </c>
      <c r="S44" s="436">
        <v>0</v>
      </c>
      <c r="T44" s="436">
        <v>0</v>
      </c>
      <c r="U44" s="436">
        <v>0</v>
      </c>
      <c r="V44" s="436">
        <v>0</v>
      </c>
      <c r="W44" s="436">
        <v>0</v>
      </c>
      <c r="X44" s="436">
        <v>0</v>
      </c>
      <c r="Y44" s="436">
        <v>0</v>
      </c>
      <c r="Z44" s="436">
        <v>0</v>
      </c>
      <c r="AA44" s="436">
        <v>0</v>
      </c>
      <c r="AB44" s="436">
        <v>0</v>
      </c>
      <c r="AC44" s="436">
        <v>0</v>
      </c>
      <c r="AD44" s="436">
        <v>0</v>
      </c>
      <c r="AE44" s="436">
        <v>0</v>
      </c>
      <c r="AF44" s="436">
        <v>0</v>
      </c>
      <c r="AG44" s="436">
        <v>0</v>
      </c>
      <c r="AH44" s="436">
        <v>0</v>
      </c>
    </row>
    <row r="45" spans="1:34" outlineLevel="1">
      <c r="A45" s="118"/>
      <c r="B45" s="118"/>
      <c r="C45" s="118"/>
      <c r="D45" s="118"/>
      <c r="E45" s="118"/>
      <c r="F45" s="118"/>
      <c r="G45" s="298" t="s">
        <v>169</v>
      </c>
      <c r="H45" s="299"/>
      <c r="I45" s="299"/>
      <c r="J45" s="288" t="s">
        <v>33</v>
      </c>
      <c r="K45" s="48" t="s">
        <v>83</v>
      </c>
      <c r="L45" s="242"/>
      <c r="N45" s="435">
        <v>0</v>
      </c>
      <c r="O45" s="435">
        <v>0</v>
      </c>
      <c r="P45" s="435">
        <v>0</v>
      </c>
      <c r="Q45" s="435">
        <v>0</v>
      </c>
      <c r="R45" s="435">
        <v>0</v>
      </c>
      <c r="S45" s="435">
        <v>0</v>
      </c>
      <c r="T45" s="435">
        <v>0</v>
      </c>
      <c r="U45" s="435">
        <v>0</v>
      </c>
      <c r="V45" s="435">
        <v>0</v>
      </c>
      <c r="W45" s="435">
        <v>0</v>
      </c>
      <c r="X45" s="435">
        <v>0</v>
      </c>
      <c r="Y45" s="435">
        <v>0</v>
      </c>
      <c r="Z45" s="435">
        <v>0</v>
      </c>
      <c r="AA45" s="435">
        <v>0</v>
      </c>
      <c r="AB45" s="435">
        <v>0</v>
      </c>
      <c r="AC45" s="435">
        <v>0</v>
      </c>
      <c r="AD45" s="435">
        <v>0</v>
      </c>
      <c r="AE45" s="435">
        <v>0</v>
      </c>
      <c r="AF45" s="435">
        <v>0</v>
      </c>
      <c r="AG45" s="435">
        <v>0</v>
      </c>
      <c r="AH45" s="435">
        <v>0</v>
      </c>
    </row>
    <row r="46" spans="1:34" outlineLevel="1">
      <c r="A46" s="118"/>
      <c r="B46" s="118"/>
      <c r="C46" s="118"/>
      <c r="D46" s="118"/>
      <c r="E46" s="118"/>
      <c r="F46" s="118"/>
      <c r="G46" s="288"/>
      <c r="H46" s="289"/>
      <c r="I46" s="289"/>
      <c r="J46" s="288" t="s">
        <v>33</v>
      </c>
      <c r="K46" s="48" t="s">
        <v>78</v>
      </c>
      <c r="N46" s="435">
        <v>0</v>
      </c>
      <c r="O46" s="435">
        <v>0</v>
      </c>
      <c r="P46" s="435">
        <v>0</v>
      </c>
      <c r="Q46" s="435">
        <v>0</v>
      </c>
      <c r="R46" s="435">
        <v>0</v>
      </c>
      <c r="S46" s="435">
        <v>0</v>
      </c>
      <c r="T46" s="435">
        <v>0</v>
      </c>
      <c r="U46" s="435">
        <v>0</v>
      </c>
      <c r="V46" s="435">
        <v>0</v>
      </c>
      <c r="W46" s="435">
        <v>0</v>
      </c>
      <c r="X46" s="435">
        <v>0</v>
      </c>
      <c r="Y46" s="435">
        <v>0</v>
      </c>
      <c r="Z46" s="435">
        <v>0</v>
      </c>
      <c r="AA46" s="435">
        <v>0</v>
      </c>
      <c r="AB46" s="435">
        <v>0</v>
      </c>
      <c r="AC46" s="435">
        <v>0</v>
      </c>
      <c r="AD46" s="435">
        <v>0</v>
      </c>
      <c r="AE46" s="435">
        <v>0</v>
      </c>
      <c r="AF46" s="435">
        <v>0</v>
      </c>
      <c r="AG46" s="435">
        <v>0</v>
      </c>
      <c r="AH46" s="435">
        <v>0</v>
      </c>
    </row>
    <row r="47" spans="1:34" outlineLevel="1">
      <c r="A47" s="118"/>
      <c r="B47" s="118"/>
      <c r="C47" s="118"/>
      <c r="D47" s="118"/>
      <c r="E47" s="118"/>
      <c r="F47" s="118"/>
      <c r="G47" s="288"/>
      <c r="H47" s="289"/>
      <c r="I47" s="289"/>
      <c r="J47" s="288" t="s">
        <v>31</v>
      </c>
      <c r="K47" s="48" t="s">
        <v>83</v>
      </c>
      <c r="N47" s="435">
        <v>0</v>
      </c>
      <c r="O47" s="435">
        <v>124389.72061982841</v>
      </c>
      <c r="P47" s="435">
        <v>50800.761901137914</v>
      </c>
      <c r="Q47" s="435">
        <v>56377.802066371522</v>
      </c>
      <c r="R47" s="435">
        <v>165777.79942012412</v>
      </c>
      <c r="S47" s="435">
        <v>70524.638836644459</v>
      </c>
      <c r="T47" s="435">
        <v>0</v>
      </c>
      <c r="U47" s="435">
        <v>0</v>
      </c>
      <c r="V47" s="435">
        <v>0</v>
      </c>
      <c r="W47" s="435">
        <v>0</v>
      </c>
      <c r="X47" s="435">
        <v>0</v>
      </c>
      <c r="Y47" s="435">
        <v>0</v>
      </c>
      <c r="Z47" s="435">
        <v>0</v>
      </c>
      <c r="AA47" s="435">
        <v>0</v>
      </c>
      <c r="AB47" s="435">
        <v>0</v>
      </c>
      <c r="AC47" s="435">
        <v>0</v>
      </c>
      <c r="AD47" s="435">
        <v>0</v>
      </c>
      <c r="AE47" s="435">
        <v>0</v>
      </c>
      <c r="AF47" s="435">
        <v>0</v>
      </c>
      <c r="AG47" s="435">
        <v>0</v>
      </c>
      <c r="AH47" s="435">
        <v>0</v>
      </c>
    </row>
    <row r="48" spans="1:34" outlineLevel="1">
      <c r="A48" s="118"/>
      <c r="B48" s="118"/>
      <c r="C48" s="118"/>
      <c r="D48" s="118"/>
      <c r="E48" s="118"/>
      <c r="F48" s="118"/>
      <c r="G48" s="288"/>
      <c r="H48" s="289"/>
      <c r="I48" s="289"/>
      <c r="J48" s="288" t="s">
        <v>31</v>
      </c>
      <c r="K48" s="48" t="s">
        <v>78</v>
      </c>
      <c r="N48" s="435">
        <v>0</v>
      </c>
      <c r="O48" s="435">
        <v>19361.530426912424</v>
      </c>
      <c r="P48" s="435">
        <v>24441.606617026217</v>
      </c>
      <c r="Q48" s="435">
        <v>29763.671132091687</v>
      </c>
      <c r="R48" s="435">
        <v>35386.805462718192</v>
      </c>
      <c r="S48" s="435">
        <v>42298.220068709343</v>
      </c>
      <c r="T48" s="435">
        <v>42298.220068709343</v>
      </c>
      <c r="U48" s="435">
        <v>42298.220068709343</v>
      </c>
      <c r="V48" s="435">
        <v>42298.220068709343</v>
      </c>
      <c r="W48" s="435">
        <v>42298.220068709343</v>
      </c>
      <c r="X48" s="435">
        <v>42298.220068709343</v>
      </c>
      <c r="Y48" s="435">
        <v>36349.146473847984</v>
      </c>
      <c r="Z48" s="435">
        <v>31269.0702837342</v>
      </c>
      <c r="AA48" s="435">
        <v>27209.868534955451</v>
      </c>
      <c r="AB48" s="435">
        <v>8726.8700370116276</v>
      </c>
      <c r="AC48" s="435">
        <v>2379.6525417136254</v>
      </c>
      <c r="AD48" s="435">
        <v>1116.7897754269029</v>
      </c>
      <c r="AE48" s="435">
        <v>564.19711069315576</v>
      </c>
      <c r="AF48" s="435">
        <v>0</v>
      </c>
      <c r="AG48" s="435">
        <v>0</v>
      </c>
      <c r="AH48" s="435">
        <v>0</v>
      </c>
    </row>
    <row r="49" spans="1:34" outlineLevel="1">
      <c r="A49" s="118"/>
      <c r="B49" s="118"/>
      <c r="C49" s="118"/>
      <c r="D49" s="118"/>
      <c r="E49" s="118"/>
      <c r="F49" s="118"/>
      <c r="G49" s="288"/>
      <c r="H49" s="289"/>
      <c r="I49" s="289"/>
      <c r="J49" s="288" t="s">
        <v>34</v>
      </c>
      <c r="K49" s="48" t="s">
        <v>83</v>
      </c>
      <c r="N49" s="435">
        <v>0</v>
      </c>
      <c r="O49" s="435">
        <v>45243.68860999855</v>
      </c>
      <c r="P49" s="435">
        <v>47148.437538413105</v>
      </c>
      <c r="Q49" s="435">
        <v>45042.733676979529</v>
      </c>
      <c r="R49" s="435">
        <v>44590.081667469974</v>
      </c>
      <c r="S49" s="435">
        <v>44945.68380311341</v>
      </c>
      <c r="T49" s="435">
        <v>0</v>
      </c>
      <c r="U49" s="435">
        <v>0</v>
      </c>
      <c r="V49" s="435">
        <v>0</v>
      </c>
      <c r="W49" s="435">
        <v>0</v>
      </c>
      <c r="X49" s="435">
        <v>0</v>
      </c>
      <c r="Y49" s="435">
        <v>0</v>
      </c>
      <c r="Z49" s="435">
        <v>0</v>
      </c>
      <c r="AA49" s="435">
        <v>0</v>
      </c>
      <c r="AB49" s="435">
        <v>0</v>
      </c>
      <c r="AC49" s="435">
        <v>0</v>
      </c>
      <c r="AD49" s="435">
        <v>0</v>
      </c>
      <c r="AE49" s="435">
        <v>0</v>
      </c>
      <c r="AF49" s="435">
        <v>0</v>
      </c>
      <c r="AG49" s="435">
        <v>0</v>
      </c>
      <c r="AH49" s="435">
        <v>0</v>
      </c>
    </row>
    <row r="50" spans="1:34" outlineLevel="1">
      <c r="A50" s="118"/>
      <c r="B50" s="118"/>
      <c r="C50" s="118"/>
      <c r="D50" s="118"/>
      <c r="E50" s="118"/>
      <c r="F50" s="118"/>
      <c r="G50" s="288"/>
      <c r="H50" s="289"/>
      <c r="I50" s="289"/>
      <c r="J50" s="288" t="s">
        <v>34</v>
      </c>
      <c r="K50" s="48" t="s">
        <v>78</v>
      </c>
      <c r="N50" s="435">
        <v>0</v>
      </c>
      <c r="O50" s="435">
        <v>4524.3688609998544</v>
      </c>
      <c r="P50" s="435">
        <v>9239.2126148411662</v>
      </c>
      <c r="Q50" s="435">
        <v>13743.485982539118</v>
      </c>
      <c r="R50" s="435">
        <v>18202.494149286114</v>
      </c>
      <c r="S50" s="435">
        <v>22697.062529597457</v>
      </c>
      <c r="T50" s="435">
        <v>22697.062529597457</v>
      </c>
      <c r="U50" s="435">
        <v>22697.062529597457</v>
      </c>
      <c r="V50" s="435">
        <v>22697.062529597457</v>
      </c>
      <c r="W50" s="435">
        <v>22697.062529597457</v>
      </c>
      <c r="X50" s="435">
        <v>22697.062529597457</v>
      </c>
      <c r="Y50" s="435">
        <v>18172.693668597603</v>
      </c>
      <c r="Z50" s="435">
        <v>13457.849914756291</v>
      </c>
      <c r="AA50" s="435">
        <v>8953.5765470583392</v>
      </c>
      <c r="AB50" s="435">
        <v>4494.5683803113416</v>
      </c>
      <c r="AC50" s="435">
        <v>0</v>
      </c>
      <c r="AD50" s="435">
        <v>0</v>
      </c>
      <c r="AE50" s="435">
        <v>0</v>
      </c>
      <c r="AF50" s="435">
        <v>0</v>
      </c>
      <c r="AG50" s="435">
        <v>0</v>
      </c>
      <c r="AH50" s="435">
        <v>0</v>
      </c>
    </row>
    <row r="51" spans="1:34" outlineLevel="1">
      <c r="A51" s="118"/>
      <c r="B51" s="118"/>
      <c r="C51" s="118"/>
      <c r="D51" s="118"/>
      <c r="E51" s="118"/>
      <c r="F51" s="118"/>
      <c r="G51" s="288"/>
      <c r="H51" s="289"/>
      <c r="I51" s="289"/>
      <c r="J51" s="288" t="s">
        <v>29</v>
      </c>
      <c r="K51" s="48" t="s">
        <v>83</v>
      </c>
      <c r="N51" s="435">
        <v>0</v>
      </c>
      <c r="O51" s="435">
        <v>0</v>
      </c>
      <c r="P51" s="435">
        <v>0</v>
      </c>
      <c r="Q51" s="435">
        <v>0</v>
      </c>
      <c r="R51" s="435">
        <v>0</v>
      </c>
      <c r="S51" s="435">
        <v>0</v>
      </c>
      <c r="T51" s="435">
        <v>0</v>
      </c>
      <c r="U51" s="435">
        <v>0</v>
      </c>
      <c r="V51" s="435">
        <v>0</v>
      </c>
      <c r="W51" s="435">
        <v>0</v>
      </c>
      <c r="X51" s="435">
        <v>0</v>
      </c>
      <c r="Y51" s="435">
        <v>0</v>
      </c>
      <c r="Z51" s="435">
        <v>0</v>
      </c>
      <c r="AA51" s="435">
        <v>0</v>
      </c>
      <c r="AB51" s="435">
        <v>0</v>
      </c>
      <c r="AC51" s="435">
        <v>0</v>
      </c>
      <c r="AD51" s="435">
        <v>0</v>
      </c>
      <c r="AE51" s="435">
        <v>0</v>
      </c>
      <c r="AF51" s="435">
        <v>0</v>
      </c>
      <c r="AG51" s="435">
        <v>0</v>
      </c>
      <c r="AH51" s="435">
        <v>0</v>
      </c>
    </row>
    <row r="52" spans="1:34" outlineLevel="1">
      <c r="A52" s="118"/>
      <c r="B52" s="118"/>
      <c r="C52" s="118"/>
      <c r="D52" s="118"/>
      <c r="E52" s="118"/>
      <c r="F52" s="118"/>
      <c r="G52" s="288"/>
      <c r="H52" s="289"/>
      <c r="I52" s="289"/>
      <c r="J52" s="288" t="s">
        <v>29</v>
      </c>
      <c r="K52" s="48" t="s">
        <v>78</v>
      </c>
      <c r="N52" s="435">
        <v>0</v>
      </c>
      <c r="O52" s="435">
        <v>0</v>
      </c>
      <c r="P52" s="435">
        <v>0</v>
      </c>
      <c r="Q52" s="435">
        <v>0</v>
      </c>
      <c r="R52" s="435">
        <v>0</v>
      </c>
      <c r="S52" s="435">
        <v>0</v>
      </c>
      <c r="T52" s="435">
        <v>0</v>
      </c>
      <c r="U52" s="435">
        <v>0</v>
      </c>
      <c r="V52" s="435">
        <v>0</v>
      </c>
      <c r="W52" s="435">
        <v>0</v>
      </c>
      <c r="X52" s="435">
        <v>0</v>
      </c>
      <c r="Y52" s="435">
        <v>0</v>
      </c>
      <c r="Z52" s="435">
        <v>0</v>
      </c>
      <c r="AA52" s="435">
        <v>0</v>
      </c>
      <c r="AB52" s="435">
        <v>0</v>
      </c>
      <c r="AC52" s="435">
        <v>0</v>
      </c>
      <c r="AD52" s="435">
        <v>0</v>
      </c>
      <c r="AE52" s="435">
        <v>0</v>
      </c>
      <c r="AF52" s="435">
        <v>0</v>
      </c>
      <c r="AG52" s="435">
        <v>0</v>
      </c>
      <c r="AH52" s="435">
        <v>0</v>
      </c>
    </row>
    <row r="53" spans="1:34" outlineLevel="1">
      <c r="A53" s="118"/>
      <c r="B53" s="118"/>
      <c r="C53" s="118"/>
      <c r="D53" s="118"/>
      <c r="E53" s="118"/>
      <c r="F53" s="118"/>
      <c r="G53" s="288"/>
      <c r="H53" s="289"/>
      <c r="I53" s="289"/>
      <c r="J53" s="288" t="s">
        <v>32</v>
      </c>
      <c r="K53" s="48" t="s">
        <v>83</v>
      </c>
      <c r="N53" s="435">
        <v>0</v>
      </c>
      <c r="O53" s="435">
        <v>94355.575905385951</v>
      </c>
      <c r="P53" s="435">
        <v>35689.245834679554</v>
      </c>
      <c r="Q53" s="435">
        <v>13155.503968250883</v>
      </c>
      <c r="R53" s="435">
        <v>13459.660743798064</v>
      </c>
      <c r="S53" s="435">
        <v>60775.513681972669</v>
      </c>
      <c r="T53" s="435">
        <v>0</v>
      </c>
      <c r="U53" s="435">
        <v>0</v>
      </c>
      <c r="V53" s="435">
        <v>0</v>
      </c>
      <c r="W53" s="435">
        <v>0</v>
      </c>
      <c r="X53" s="435">
        <v>0</v>
      </c>
      <c r="Y53" s="435">
        <v>0</v>
      </c>
      <c r="Z53" s="435">
        <v>0</v>
      </c>
      <c r="AA53" s="435">
        <v>0</v>
      </c>
      <c r="AB53" s="435">
        <v>0</v>
      </c>
      <c r="AC53" s="435">
        <v>0</v>
      </c>
      <c r="AD53" s="435">
        <v>0</v>
      </c>
      <c r="AE53" s="435">
        <v>0</v>
      </c>
      <c r="AF53" s="435">
        <v>0</v>
      </c>
      <c r="AG53" s="435">
        <v>0</v>
      </c>
      <c r="AH53" s="435">
        <v>0</v>
      </c>
    </row>
    <row r="54" spans="1:34" outlineLevel="1">
      <c r="A54" s="118"/>
      <c r="B54" s="118"/>
      <c r="C54" s="118"/>
      <c r="D54" s="118"/>
      <c r="E54" s="118"/>
      <c r="F54" s="118"/>
      <c r="G54" s="288"/>
      <c r="H54" s="289"/>
      <c r="I54" s="289"/>
      <c r="J54" s="288" t="s">
        <v>32</v>
      </c>
      <c r="K54" s="48" t="s">
        <v>78</v>
      </c>
      <c r="N54" s="435">
        <v>0</v>
      </c>
      <c r="O54" s="435">
        <v>18723.084814243735</v>
      </c>
      <c r="P54" s="435">
        <v>22175.693416042152</v>
      </c>
      <c r="Q54" s="435">
        <v>23340.84832846911</v>
      </c>
      <c r="R54" s="435">
        <v>24531.029317901313</v>
      </c>
      <c r="S54" s="435">
        <v>25039.933458049167</v>
      </c>
      <c r="T54" s="435">
        <v>12919.341573421323</v>
      </c>
      <c r="U54" s="435">
        <v>12919.341573421323</v>
      </c>
      <c r="V54" s="435">
        <v>12919.341573421323</v>
      </c>
      <c r="W54" s="435">
        <v>12919.341573421323</v>
      </c>
      <c r="X54" s="435">
        <v>12919.341573421323</v>
      </c>
      <c r="Y54" s="435">
        <v>11729.52685444905</v>
      </c>
      <c r="Z54" s="435">
        <v>8305.9972480680171</v>
      </c>
      <c r="AA54" s="435">
        <v>7178.4412067405874</v>
      </c>
      <c r="AB54" s="435">
        <v>6027.206488545281</v>
      </c>
      <c r="AC54" s="435">
        <v>150.15325215824288</v>
      </c>
      <c r="AD54" s="435">
        <v>150.15325215824288</v>
      </c>
      <c r="AE54" s="435">
        <v>150.15325215824288</v>
      </c>
      <c r="AF54" s="435">
        <v>150.15325215824288</v>
      </c>
      <c r="AG54" s="435">
        <v>150.15325215824288</v>
      </c>
      <c r="AH54" s="435">
        <v>150.15325215824288</v>
      </c>
    </row>
    <row r="55" spans="1:34" outlineLevel="1">
      <c r="A55" s="118"/>
      <c r="B55" s="118"/>
      <c r="C55" s="118"/>
      <c r="D55" s="118"/>
      <c r="E55" s="118"/>
      <c r="F55" s="118"/>
      <c r="G55" s="288"/>
      <c r="H55" s="289"/>
      <c r="I55" s="289"/>
      <c r="J55" s="288" t="s">
        <v>36</v>
      </c>
      <c r="K55" s="48" t="s">
        <v>83</v>
      </c>
      <c r="N55" s="435">
        <v>0</v>
      </c>
      <c r="O55" s="435">
        <v>124404.99700643377</v>
      </c>
      <c r="P55" s="435">
        <v>104286.57518423007</v>
      </c>
      <c r="Q55" s="435">
        <v>138292.31529073915</v>
      </c>
      <c r="R55" s="435">
        <v>63562.379231976542</v>
      </c>
      <c r="S55" s="435">
        <v>152594.3364066561</v>
      </c>
      <c r="T55" s="435">
        <v>0</v>
      </c>
      <c r="U55" s="435">
        <v>0</v>
      </c>
      <c r="V55" s="435">
        <v>0</v>
      </c>
      <c r="W55" s="435">
        <v>0</v>
      </c>
      <c r="X55" s="435">
        <v>0</v>
      </c>
      <c r="Y55" s="435">
        <v>0</v>
      </c>
      <c r="Z55" s="435">
        <v>0</v>
      </c>
      <c r="AA55" s="435">
        <v>0</v>
      </c>
      <c r="AB55" s="435">
        <v>0</v>
      </c>
      <c r="AC55" s="435">
        <v>0</v>
      </c>
      <c r="AD55" s="435">
        <v>0</v>
      </c>
      <c r="AE55" s="435">
        <v>0</v>
      </c>
      <c r="AF55" s="435">
        <v>0</v>
      </c>
      <c r="AG55" s="435">
        <v>0</v>
      </c>
      <c r="AH55" s="435">
        <v>0</v>
      </c>
    </row>
    <row r="56" spans="1:34" outlineLevel="1">
      <c r="A56" s="118"/>
      <c r="B56" s="118"/>
      <c r="C56" s="118"/>
      <c r="D56" s="118"/>
      <c r="E56" s="118"/>
      <c r="F56" s="118"/>
      <c r="G56" s="288"/>
      <c r="H56" s="289"/>
      <c r="I56" s="289"/>
      <c r="J56" s="288" t="s">
        <v>36</v>
      </c>
      <c r="K56" s="48" t="s">
        <v>78</v>
      </c>
      <c r="N56" s="435">
        <v>0</v>
      </c>
      <c r="O56" s="435">
        <v>26658.88754336417</v>
      </c>
      <c r="P56" s="435">
        <v>49800.011882313775</v>
      </c>
      <c r="Q56" s="435">
        <v>79768.161416522824</v>
      </c>
      <c r="R56" s="435">
        <v>94593.207944554713</v>
      </c>
      <c r="S56" s="435">
        <v>108235.08251184564</v>
      </c>
      <c r="T56" s="435">
        <v>78957.12789580859</v>
      </c>
      <c r="U56" s="435">
        <v>52271.169811696142</v>
      </c>
      <c r="V56" s="435">
        <v>31395.318114002745</v>
      </c>
      <c r="W56" s="435">
        <v>18288.123315447501</v>
      </c>
      <c r="X56" s="435">
        <v>10872.085487933791</v>
      </c>
      <c r="Y56" s="435">
        <v>10011.994656758267</v>
      </c>
      <c r="Z56" s="435">
        <v>8961.9934048392497</v>
      </c>
      <c r="AA56" s="435">
        <v>7018.902327461491</v>
      </c>
      <c r="AB56" s="435">
        <v>6308.5368074866583</v>
      </c>
      <c r="AC56" s="435">
        <v>0</v>
      </c>
      <c r="AD56" s="435">
        <v>0</v>
      </c>
      <c r="AE56" s="435">
        <v>0</v>
      </c>
      <c r="AF56" s="435">
        <v>0</v>
      </c>
      <c r="AG56" s="435">
        <v>0</v>
      </c>
      <c r="AH56" s="435">
        <v>0</v>
      </c>
    </row>
    <row r="57" spans="1:34" outlineLevel="1">
      <c r="A57" s="118"/>
      <c r="B57" s="118"/>
      <c r="C57" s="118"/>
      <c r="D57" s="118"/>
      <c r="E57" s="118"/>
      <c r="F57" s="118"/>
      <c r="G57" s="288"/>
      <c r="H57" s="289"/>
      <c r="I57" s="289"/>
      <c r="J57" s="288" t="s">
        <v>37</v>
      </c>
      <c r="K57" s="48" t="s">
        <v>83</v>
      </c>
      <c r="N57" s="435">
        <v>0</v>
      </c>
      <c r="O57" s="435">
        <v>0</v>
      </c>
      <c r="P57" s="435">
        <v>0</v>
      </c>
      <c r="Q57" s="435">
        <v>0</v>
      </c>
      <c r="R57" s="435">
        <v>0</v>
      </c>
      <c r="S57" s="435">
        <v>0</v>
      </c>
      <c r="T57" s="435">
        <v>0</v>
      </c>
      <c r="U57" s="435">
        <v>0</v>
      </c>
      <c r="V57" s="435">
        <v>0</v>
      </c>
      <c r="W57" s="435">
        <v>0</v>
      </c>
      <c r="X57" s="435">
        <v>0</v>
      </c>
      <c r="Y57" s="435">
        <v>0</v>
      </c>
      <c r="Z57" s="435">
        <v>0</v>
      </c>
      <c r="AA57" s="435">
        <v>0</v>
      </c>
      <c r="AB57" s="435">
        <v>0</v>
      </c>
      <c r="AC57" s="435">
        <v>0</v>
      </c>
      <c r="AD57" s="435">
        <v>0</v>
      </c>
      <c r="AE57" s="435">
        <v>0</v>
      </c>
      <c r="AF57" s="435">
        <v>0</v>
      </c>
      <c r="AG57" s="435">
        <v>0</v>
      </c>
      <c r="AH57" s="435">
        <v>0</v>
      </c>
    </row>
    <row r="58" spans="1:34" outlineLevel="1">
      <c r="A58" s="118"/>
      <c r="B58" s="118"/>
      <c r="C58" s="118"/>
      <c r="D58" s="118"/>
      <c r="E58" s="118"/>
      <c r="F58" s="118"/>
      <c r="G58" s="288"/>
      <c r="H58" s="289"/>
      <c r="I58" s="289"/>
      <c r="J58" s="288" t="s">
        <v>37</v>
      </c>
      <c r="K58" s="48" t="s">
        <v>78</v>
      </c>
      <c r="N58" s="435">
        <v>0</v>
      </c>
      <c r="O58" s="435">
        <v>0</v>
      </c>
      <c r="P58" s="435">
        <v>0</v>
      </c>
      <c r="Q58" s="435">
        <v>0</v>
      </c>
      <c r="R58" s="435">
        <v>0</v>
      </c>
      <c r="S58" s="435">
        <v>0</v>
      </c>
      <c r="T58" s="435">
        <v>0</v>
      </c>
      <c r="U58" s="435">
        <v>0</v>
      </c>
      <c r="V58" s="435">
        <v>0</v>
      </c>
      <c r="W58" s="435">
        <v>0</v>
      </c>
      <c r="X58" s="435">
        <v>0</v>
      </c>
      <c r="Y58" s="435">
        <v>0</v>
      </c>
      <c r="Z58" s="435">
        <v>0</v>
      </c>
      <c r="AA58" s="435">
        <v>0</v>
      </c>
      <c r="AB58" s="435">
        <v>0</v>
      </c>
      <c r="AC58" s="435">
        <v>0</v>
      </c>
      <c r="AD58" s="435">
        <v>0</v>
      </c>
      <c r="AE58" s="435">
        <v>0</v>
      </c>
      <c r="AF58" s="435">
        <v>0</v>
      </c>
      <c r="AG58" s="435">
        <v>0</v>
      </c>
      <c r="AH58" s="435">
        <v>0</v>
      </c>
    </row>
    <row r="59" spans="1:34" outlineLevel="1">
      <c r="A59" s="118"/>
      <c r="B59" s="118"/>
      <c r="C59" s="118"/>
      <c r="D59" s="118"/>
      <c r="E59" s="118"/>
      <c r="F59" s="118"/>
      <c r="G59" s="288"/>
      <c r="H59" s="289"/>
      <c r="I59" s="289"/>
      <c r="J59" s="288" t="s">
        <v>30</v>
      </c>
      <c r="K59" s="48" t="s">
        <v>83</v>
      </c>
      <c r="N59" s="435">
        <v>0</v>
      </c>
      <c r="O59" s="435">
        <v>0</v>
      </c>
      <c r="P59" s="435">
        <v>0</v>
      </c>
      <c r="Q59" s="435">
        <v>0</v>
      </c>
      <c r="R59" s="435">
        <v>0</v>
      </c>
      <c r="S59" s="435">
        <v>0</v>
      </c>
      <c r="T59" s="435">
        <v>0</v>
      </c>
      <c r="U59" s="435">
        <v>0</v>
      </c>
      <c r="V59" s="435">
        <v>0</v>
      </c>
      <c r="W59" s="435">
        <v>0</v>
      </c>
      <c r="X59" s="435">
        <v>0</v>
      </c>
      <c r="Y59" s="435">
        <v>0</v>
      </c>
      <c r="Z59" s="435">
        <v>0</v>
      </c>
      <c r="AA59" s="435">
        <v>0</v>
      </c>
      <c r="AB59" s="435">
        <v>0</v>
      </c>
      <c r="AC59" s="435">
        <v>0</v>
      </c>
      <c r="AD59" s="435">
        <v>0</v>
      </c>
      <c r="AE59" s="435">
        <v>0</v>
      </c>
      <c r="AF59" s="435">
        <v>0</v>
      </c>
      <c r="AG59" s="435">
        <v>0</v>
      </c>
      <c r="AH59" s="435">
        <v>0</v>
      </c>
    </row>
    <row r="60" spans="1:34" outlineLevel="1">
      <c r="A60" s="118"/>
      <c r="B60" s="118"/>
      <c r="C60" s="118"/>
      <c r="D60" s="118"/>
      <c r="E60" s="118"/>
      <c r="F60" s="118"/>
      <c r="G60" s="288"/>
      <c r="H60" s="289"/>
      <c r="I60" s="289"/>
      <c r="J60" s="288" t="s">
        <v>30</v>
      </c>
      <c r="K60" s="48" t="s">
        <v>78</v>
      </c>
      <c r="N60" s="435">
        <v>0</v>
      </c>
      <c r="O60" s="435">
        <v>0</v>
      </c>
      <c r="P60" s="435">
        <v>0</v>
      </c>
      <c r="Q60" s="435">
        <v>0</v>
      </c>
      <c r="R60" s="435">
        <v>0</v>
      </c>
      <c r="S60" s="435">
        <v>0</v>
      </c>
      <c r="T60" s="435">
        <v>0</v>
      </c>
      <c r="U60" s="435">
        <v>0</v>
      </c>
      <c r="V60" s="435">
        <v>0</v>
      </c>
      <c r="W60" s="435">
        <v>0</v>
      </c>
      <c r="X60" s="435">
        <v>0</v>
      </c>
      <c r="Y60" s="435">
        <v>0</v>
      </c>
      <c r="Z60" s="435">
        <v>0</v>
      </c>
      <c r="AA60" s="435">
        <v>0</v>
      </c>
      <c r="AB60" s="435">
        <v>0</v>
      </c>
      <c r="AC60" s="435">
        <v>0</v>
      </c>
      <c r="AD60" s="435">
        <v>0</v>
      </c>
      <c r="AE60" s="435">
        <v>0</v>
      </c>
      <c r="AF60" s="435">
        <v>0</v>
      </c>
      <c r="AG60" s="435">
        <v>0</v>
      </c>
      <c r="AH60" s="435">
        <v>0</v>
      </c>
    </row>
    <row r="61" spans="1:34" outlineLevel="1">
      <c r="A61" s="118"/>
      <c r="B61" s="118"/>
      <c r="C61" s="118"/>
      <c r="D61" s="118"/>
      <c r="E61" s="118"/>
      <c r="F61" s="118"/>
      <c r="G61" s="288"/>
      <c r="H61" s="289"/>
      <c r="I61" s="289"/>
      <c r="J61" s="288" t="s">
        <v>38</v>
      </c>
      <c r="K61" s="48" t="s">
        <v>83</v>
      </c>
      <c r="N61" s="435">
        <v>0</v>
      </c>
      <c r="O61" s="435">
        <v>0</v>
      </c>
      <c r="P61" s="435">
        <v>0</v>
      </c>
      <c r="Q61" s="435">
        <v>0</v>
      </c>
      <c r="R61" s="435">
        <v>0</v>
      </c>
      <c r="S61" s="435">
        <v>0</v>
      </c>
      <c r="T61" s="435">
        <v>0</v>
      </c>
      <c r="U61" s="435">
        <v>0</v>
      </c>
      <c r="V61" s="435">
        <v>0</v>
      </c>
      <c r="W61" s="435">
        <v>0</v>
      </c>
      <c r="X61" s="435">
        <v>0</v>
      </c>
      <c r="Y61" s="435">
        <v>0</v>
      </c>
      <c r="Z61" s="435">
        <v>0</v>
      </c>
      <c r="AA61" s="435">
        <v>0</v>
      </c>
      <c r="AB61" s="435">
        <v>0</v>
      </c>
      <c r="AC61" s="435">
        <v>0</v>
      </c>
      <c r="AD61" s="435">
        <v>0</v>
      </c>
      <c r="AE61" s="435">
        <v>0</v>
      </c>
      <c r="AF61" s="435">
        <v>0</v>
      </c>
      <c r="AG61" s="435">
        <v>0</v>
      </c>
      <c r="AH61" s="435">
        <v>0</v>
      </c>
    </row>
    <row r="62" spans="1:34" outlineLevel="1">
      <c r="A62" s="118"/>
      <c r="B62" s="118"/>
      <c r="C62" s="118"/>
      <c r="D62" s="118"/>
      <c r="E62" s="118"/>
      <c r="F62" s="118"/>
      <c r="G62" s="288"/>
      <c r="H62" s="289"/>
      <c r="I62" s="289"/>
      <c r="J62" s="335" t="s">
        <v>38</v>
      </c>
      <c r="K62" s="336" t="s">
        <v>78</v>
      </c>
      <c r="N62" s="436">
        <v>0</v>
      </c>
      <c r="O62" s="436">
        <v>0</v>
      </c>
      <c r="P62" s="436">
        <v>0</v>
      </c>
      <c r="Q62" s="436">
        <v>0</v>
      </c>
      <c r="R62" s="436">
        <v>0</v>
      </c>
      <c r="S62" s="436">
        <v>0</v>
      </c>
      <c r="T62" s="436">
        <v>0</v>
      </c>
      <c r="U62" s="436">
        <v>0</v>
      </c>
      <c r="V62" s="436">
        <v>0</v>
      </c>
      <c r="W62" s="436">
        <v>0</v>
      </c>
      <c r="X62" s="436">
        <v>0</v>
      </c>
      <c r="Y62" s="436">
        <v>0</v>
      </c>
      <c r="Z62" s="436">
        <v>0</v>
      </c>
      <c r="AA62" s="436">
        <v>0</v>
      </c>
      <c r="AB62" s="436">
        <v>0</v>
      </c>
      <c r="AC62" s="436">
        <v>0</v>
      </c>
      <c r="AD62" s="436">
        <v>0</v>
      </c>
      <c r="AE62" s="436">
        <v>0</v>
      </c>
      <c r="AF62" s="436">
        <v>0</v>
      </c>
      <c r="AG62" s="436">
        <v>0</v>
      </c>
      <c r="AH62" s="436">
        <v>0</v>
      </c>
    </row>
    <row r="63" spans="1:34" outlineLevel="1">
      <c r="A63" s="118"/>
      <c r="B63" s="118"/>
      <c r="C63" s="118"/>
      <c r="D63" s="118"/>
      <c r="E63" s="118"/>
      <c r="F63" s="118"/>
      <c r="G63" s="298" t="s">
        <v>170</v>
      </c>
      <c r="H63" s="299"/>
      <c r="I63" s="299"/>
      <c r="J63" s="288" t="s">
        <v>33</v>
      </c>
      <c r="K63" s="48" t="s">
        <v>83</v>
      </c>
      <c r="L63" s="242"/>
      <c r="M63" s="300"/>
      <c r="N63" s="435">
        <v>0</v>
      </c>
      <c r="O63" s="435">
        <v>0</v>
      </c>
      <c r="P63" s="435">
        <v>0</v>
      </c>
      <c r="Q63" s="435">
        <v>0</v>
      </c>
      <c r="R63" s="435">
        <v>0</v>
      </c>
      <c r="S63" s="435">
        <v>0</v>
      </c>
      <c r="T63" s="435">
        <v>0</v>
      </c>
      <c r="U63" s="435">
        <v>0</v>
      </c>
      <c r="V63" s="435">
        <v>0</v>
      </c>
      <c r="W63" s="435">
        <v>0</v>
      </c>
      <c r="X63" s="435">
        <v>0</v>
      </c>
      <c r="Y63" s="435">
        <v>0</v>
      </c>
      <c r="Z63" s="435">
        <v>0</v>
      </c>
      <c r="AA63" s="435">
        <v>0</v>
      </c>
      <c r="AB63" s="435">
        <v>0</v>
      </c>
      <c r="AC63" s="435">
        <v>0</v>
      </c>
      <c r="AD63" s="435">
        <v>0</v>
      </c>
      <c r="AE63" s="435">
        <v>0</v>
      </c>
      <c r="AF63" s="435">
        <v>0</v>
      </c>
      <c r="AG63" s="435">
        <v>0</v>
      </c>
      <c r="AH63" s="435">
        <v>0</v>
      </c>
    </row>
    <row r="64" spans="1:34" outlineLevel="1">
      <c r="A64" s="118"/>
      <c r="B64" s="118"/>
      <c r="C64" s="118"/>
      <c r="D64" s="118"/>
      <c r="E64" s="118"/>
      <c r="F64" s="118"/>
      <c r="G64" s="288"/>
      <c r="H64" s="289"/>
      <c r="I64" s="289"/>
      <c r="J64" s="288" t="s">
        <v>33</v>
      </c>
      <c r="K64" s="48" t="s">
        <v>78</v>
      </c>
      <c r="N64" s="435">
        <v>0</v>
      </c>
      <c r="O64" s="435">
        <v>0</v>
      </c>
      <c r="P64" s="435">
        <v>0</v>
      </c>
      <c r="Q64" s="435">
        <v>0</v>
      </c>
      <c r="R64" s="435">
        <v>0</v>
      </c>
      <c r="S64" s="435">
        <v>0</v>
      </c>
      <c r="T64" s="435">
        <v>0</v>
      </c>
      <c r="U64" s="435">
        <v>0</v>
      </c>
      <c r="V64" s="435">
        <v>0</v>
      </c>
      <c r="W64" s="435">
        <v>0</v>
      </c>
      <c r="X64" s="435">
        <v>0</v>
      </c>
      <c r="Y64" s="435">
        <v>0</v>
      </c>
      <c r="Z64" s="435">
        <v>0</v>
      </c>
      <c r="AA64" s="435">
        <v>0</v>
      </c>
      <c r="AB64" s="435">
        <v>0</v>
      </c>
      <c r="AC64" s="435">
        <v>0</v>
      </c>
      <c r="AD64" s="435">
        <v>0</v>
      </c>
      <c r="AE64" s="435">
        <v>0</v>
      </c>
      <c r="AF64" s="435">
        <v>0</v>
      </c>
      <c r="AG64" s="435">
        <v>0</v>
      </c>
      <c r="AH64" s="435">
        <v>0</v>
      </c>
    </row>
    <row r="65" spans="1:34" outlineLevel="1">
      <c r="A65" s="118"/>
      <c r="B65" s="118"/>
      <c r="C65" s="118"/>
      <c r="D65" s="118"/>
      <c r="E65" s="118"/>
      <c r="F65" s="118"/>
      <c r="G65" s="288"/>
      <c r="H65" s="289"/>
      <c r="I65" s="289"/>
      <c r="J65" s="288" t="s">
        <v>31</v>
      </c>
      <c r="K65" s="48" t="s">
        <v>83</v>
      </c>
      <c r="N65" s="435">
        <v>0</v>
      </c>
      <c r="O65" s="435">
        <v>14710.353506359112</v>
      </c>
      <c r="P65" s="435">
        <v>6007.7083719970597</v>
      </c>
      <c r="Q65" s="435">
        <v>6667.2502693576062</v>
      </c>
      <c r="R65" s="435">
        <v>19604.916072040651</v>
      </c>
      <c r="S65" s="435">
        <v>8340.2580456472933</v>
      </c>
      <c r="T65" s="435">
        <v>0</v>
      </c>
      <c r="U65" s="435">
        <v>0</v>
      </c>
      <c r="V65" s="435">
        <v>0</v>
      </c>
      <c r="W65" s="435">
        <v>0</v>
      </c>
      <c r="X65" s="435">
        <v>0</v>
      </c>
      <c r="Y65" s="435">
        <v>0</v>
      </c>
      <c r="Z65" s="435">
        <v>0</v>
      </c>
      <c r="AA65" s="435">
        <v>0</v>
      </c>
      <c r="AB65" s="435">
        <v>0</v>
      </c>
      <c r="AC65" s="435">
        <v>0</v>
      </c>
      <c r="AD65" s="435">
        <v>0</v>
      </c>
      <c r="AE65" s="435">
        <v>0</v>
      </c>
      <c r="AF65" s="435">
        <v>0</v>
      </c>
      <c r="AG65" s="435">
        <v>0</v>
      </c>
      <c r="AH65" s="435">
        <v>0</v>
      </c>
    </row>
    <row r="66" spans="1:34" outlineLevel="1">
      <c r="A66" s="118"/>
      <c r="B66" s="118"/>
      <c r="C66" s="118"/>
      <c r="D66" s="118"/>
      <c r="E66" s="118"/>
      <c r="F66" s="118"/>
      <c r="G66" s="288"/>
      <c r="H66" s="289"/>
      <c r="I66" s="289"/>
      <c r="J66" s="288" t="s">
        <v>31</v>
      </c>
      <c r="K66" s="48" t="s">
        <v>78</v>
      </c>
      <c r="N66" s="435">
        <v>0</v>
      </c>
      <c r="O66" s="435">
        <v>2289.6985022941572</v>
      </c>
      <c r="P66" s="435">
        <v>2890.4693394938631</v>
      </c>
      <c r="Q66" s="435">
        <v>3519.8577649212211</v>
      </c>
      <c r="R66" s="435">
        <v>4184.8507675992432</v>
      </c>
      <c r="S66" s="435">
        <v>5002.1960560726775</v>
      </c>
      <c r="T66" s="435">
        <v>5002.1960560726775</v>
      </c>
      <c r="U66" s="435">
        <v>5002.1960560726775</v>
      </c>
      <c r="V66" s="435">
        <v>5002.1960560726775</v>
      </c>
      <c r="W66" s="435">
        <v>5002.1960560726775</v>
      </c>
      <c r="X66" s="435">
        <v>5002.1960560726775</v>
      </c>
      <c r="Y66" s="435">
        <v>4298.6574101163724</v>
      </c>
      <c r="Z66" s="435">
        <v>3697.8865729166669</v>
      </c>
      <c r="AA66" s="435">
        <v>3217.8445535229189</v>
      </c>
      <c r="AB66" s="435">
        <v>1032.0414147471806</v>
      </c>
      <c r="AC66" s="435">
        <v>281.41819063892427</v>
      </c>
      <c r="AD66" s="435">
        <v>132.07178460531387</v>
      </c>
      <c r="AE66" s="435">
        <v>66.722064365178355</v>
      </c>
      <c r="AF66" s="435">
        <v>0</v>
      </c>
      <c r="AG66" s="435">
        <v>0</v>
      </c>
      <c r="AH66" s="435">
        <v>0</v>
      </c>
    </row>
    <row r="67" spans="1:34" outlineLevel="1">
      <c r="A67" s="118"/>
      <c r="B67" s="118"/>
      <c r="C67" s="118"/>
      <c r="D67" s="118"/>
      <c r="E67" s="118"/>
      <c r="F67" s="118"/>
      <c r="G67" s="288"/>
      <c r="H67" s="289"/>
      <c r="I67" s="289"/>
      <c r="J67" s="288" t="s">
        <v>34</v>
      </c>
      <c r="K67" s="48" t="s">
        <v>83</v>
      </c>
      <c r="N67" s="435">
        <v>0</v>
      </c>
      <c r="O67" s="435">
        <v>11357.250940144413</v>
      </c>
      <c r="P67" s="435">
        <v>11941.018601873879</v>
      </c>
      <c r="Q67" s="435">
        <v>11430.191010320579</v>
      </c>
      <c r="R67" s="435">
        <v>11359.928195939474</v>
      </c>
      <c r="S67" s="435">
        <v>11500.616028124005</v>
      </c>
      <c r="T67" s="435">
        <v>0</v>
      </c>
      <c r="U67" s="435">
        <v>0</v>
      </c>
      <c r="V67" s="435">
        <v>0</v>
      </c>
      <c r="W67" s="435">
        <v>0</v>
      </c>
      <c r="X67" s="435">
        <v>0</v>
      </c>
      <c r="Y67" s="435">
        <v>0</v>
      </c>
      <c r="Z67" s="435">
        <v>0</v>
      </c>
      <c r="AA67" s="435">
        <v>0</v>
      </c>
      <c r="AB67" s="435">
        <v>0</v>
      </c>
      <c r="AC67" s="435">
        <v>0</v>
      </c>
      <c r="AD67" s="435">
        <v>0</v>
      </c>
      <c r="AE67" s="435">
        <v>0</v>
      </c>
      <c r="AF67" s="435">
        <v>0</v>
      </c>
      <c r="AG67" s="435">
        <v>0</v>
      </c>
      <c r="AH67" s="435">
        <v>0</v>
      </c>
    </row>
    <row r="68" spans="1:34" outlineLevel="1">
      <c r="A68" s="118"/>
      <c r="B68" s="118"/>
      <c r="C68" s="118"/>
      <c r="D68" s="118"/>
      <c r="E68" s="118"/>
      <c r="F68" s="118"/>
      <c r="G68" s="288"/>
      <c r="H68" s="289"/>
      <c r="I68" s="289"/>
      <c r="J68" s="288" t="s">
        <v>34</v>
      </c>
      <c r="K68" s="48" t="s">
        <v>78</v>
      </c>
      <c r="N68" s="435">
        <v>0</v>
      </c>
      <c r="O68" s="435">
        <v>1135.7250940144413</v>
      </c>
      <c r="P68" s="435">
        <v>2329.8269542018293</v>
      </c>
      <c r="Q68" s="435">
        <v>3472.8460552338875</v>
      </c>
      <c r="R68" s="435">
        <v>4608.8388748278348</v>
      </c>
      <c r="S68" s="435">
        <v>5758.9004776402353</v>
      </c>
      <c r="T68" s="435">
        <v>5758.9004776402353</v>
      </c>
      <c r="U68" s="435">
        <v>5758.9004776402353</v>
      </c>
      <c r="V68" s="435">
        <v>5758.9004776402353</v>
      </c>
      <c r="W68" s="435">
        <v>5758.9004776402353</v>
      </c>
      <c r="X68" s="435">
        <v>5758.9004776402353</v>
      </c>
      <c r="Y68" s="435">
        <v>4623.175383625794</v>
      </c>
      <c r="Z68" s="435">
        <v>3429.0735234384056</v>
      </c>
      <c r="AA68" s="435">
        <v>2286.0544224063478</v>
      </c>
      <c r="AB68" s="435">
        <v>1150.0616028124005</v>
      </c>
      <c r="AC68" s="435">
        <v>0</v>
      </c>
      <c r="AD68" s="435">
        <v>0</v>
      </c>
      <c r="AE68" s="435">
        <v>0</v>
      </c>
      <c r="AF68" s="435">
        <v>0</v>
      </c>
      <c r="AG68" s="435">
        <v>0</v>
      </c>
      <c r="AH68" s="435">
        <v>0</v>
      </c>
    </row>
    <row r="69" spans="1:34" outlineLevel="1">
      <c r="A69" s="118"/>
      <c r="B69" s="118"/>
      <c r="C69" s="118"/>
      <c r="D69" s="118"/>
      <c r="E69" s="118"/>
      <c r="F69" s="118"/>
      <c r="G69" s="288"/>
      <c r="H69" s="289"/>
      <c r="I69" s="289"/>
      <c r="J69" s="288" t="s">
        <v>29</v>
      </c>
      <c r="K69" s="48" t="s">
        <v>83</v>
      </c>
      <c r="N69" s="435">
        <v>0</v>
      </c>
      <c r="O69" s="435">
        <v>0</v>
      </c>
      <c r="P69" s="435">
        <v>0</v>
      </c>
      <c r="Q69" s="435">
        <v>0</v>
      </c>
      <c r="R69" s="435">
        <v>0</v>
      </c>
      <c r="S69" s="435">
        <v>0</v>
      </c>
      <c r="T69" s="435">
        <v>0</v>
      </c>
      <c r="U69" s="435">
        <v>0</v>
      </c>
      <c r="V69" s="435">
        <v>0</v>
      </c>
      <c r="W69" s="435">
        <v>0</v>
      </c>
      <c r="X69" s="435">
        <v>0</v>
      </c>
      <c r="Y69" s="435">
        <v>0</v>
      </c>
      <c r="Z69" s="435">
        <v>0</v>
      </c>
      <c r="AA69" s="435">
        <v>0</v>
      </c>
      <c r="AB69" s="435">
        <v>0</v>
      </c>
      <c r="AC69" s="435">
        <v>0</v>
      </c>
      <c r="AD69" s="435">
        <v>0</v>
      </c>
      <c r="AE69" s="435">
        <v>0</v>
      </c>
      <c r="AF69" s="435">
        <v>0</v>
      </c>
      <c r="AG69" s="435">
        <v>0</v>
      </c>
      <c r="AH69" s="435">
        <v>0</v>
      </c>
    </row>
    <row r="70" spans="1:34" outlineLevel="1">
      <c r="A70" s="118"/>
      <c r="B70" s="118"/>
      <c r="C70" s="118"/>
      <c r="D70" s="118"/>
      <c r="E70" s="118"/>
      <c r="F70" s="118"/>
      <c r="G70" s="288"/>
      <c r="H70" s="289"/>
      <c r="I70" s="289"/>
      <c r="J70" s="288" t="s">
        <v>29</v>
      </c>
      <c r="K70" s="48" t="s">
        <v>78</v>
      </c>
      <c r="N70" s="435">
        <v>0</v>
      </c>
      <c r="O70" s="435">
        <v>0</v>
      </c>
      <c r="P70" s="435">
        <v>0</v>
      </c>
      <c r="Q70" s="435">
        <v>0</v>
      </c>
      <c r="R70" s="435">
        <v>0</v>
      </c>
      <c r="S70" s="435">
        <v>0</v>
      </c>
      <c r="T70" s="435">
        <v>0</v>
      </c>
      <c r="U70" s="435">
        <v>0</v>
      </c>
      <c r="V70" s="435">
        <v>0</v>
      </c>
      <c r="W70" s="435">
        <v>0</v>
      </c>
      <c r="X70" s="435">
        <v>0</v>
      </c>
      <c r="Y70" s="435">
        <v>0</v>
      </c>
      <c r="Z70" s="435">
        <v>0</v>
      </c>
      <c r="AA70" s="435">
        <v>0</v>
      </c>
      <c r="AB70" s="435">
        <v>0</v>
      </c>
      <c r="AC70" s="435">
        <v>0</v>
      </c>
      <c r="AD70" s="435">
        <v>0</v>
      </c>
      <c r="AE70" s="435">
        <v>0</v>
      </c>
      <c r="AF70" s="435">
        <v>0</v>
      </c>
      <c r="AG70" s="435">
        <v>0</v>
      </c>
      <c r="AH70" s="435">
        <v>0</v>
      </c>
    </row>
    <row r="71" spans="1:34" outlineLevel="1">
      <c r="A71" s="118"/>
      <c r="B71" s="118"/>
      <c r="C71" s="118"/>
      <c r="D71" s="118"/>
      <c r="E71" s="118"/>
      <c r="F71" s="118"/>
      <c r="G71" s="288"/>
      <c r="H71" s="289"/>
      <c r="I71" s="289"/>
      <c r="J71" s="288" t="s">
        <v>32</v>
      </c>
      <c r="K71" s="48" t="s">
        <v>83</v>
      </c>
      <c r="N71" s="435">
        <v>0</v>
      </c>
      <c r="O71" s="435">
        <v>11140.989322622298</v>
      </c>
      <c r="P71" s="435">
        <v>4194.6060860680082</v>
      </c>
      <c r="Q71" s="435">
        <v>1527.8710651313534</v>
      </c>
      <c r="R71" s="435">
        <v>1562.927654973967</v>
      </c>
      <c r="S71" s="435">
        <v>7157.426987513214</v>
      </c>
      <c r="T71" s="435">
        <v>0</v>
      </c>
      <c r="U71" s="435">
        <v>0</v>
      </c>
      <c r="V71" s="435">
        <v>0</v>
      </c>
      <c r="W71" s="435">
        <v>0</v>
      </c>
      <c r="X71" s="435">
        <v>0</v>
      </c>
      <c r="Y71" s="435">
        <v>0</v>
      </c>
      <c r="Z71" s="435">
        <v>0</v>
      </c>
      <c r="AA71" s="435">
        <v>0</v>
      </c>
      <c r="AB71" s="435">
        <v>0</v>
      </c>
      <c r="AC71" s="435">
        <v>0</v>
      </c>
      <c r="AD71" s="435">
        <v>0</v>
      </c>
      <c r="AE71" s="435">
        <v>0</v>
      </c>
      <c r="AF71" s="435">
        <v>0</v>
      </c>
      <c r="AG71" s="435">
        <v>0</v>
      </c>
      <c r="AH71" s="435">
        <v>0</v>
      </c>
    </row>
    <row r="72" spans="1:34" outlineLevel="1">
      <c r="A72" s="118"/>
      <c r="B72" s="118"/>
      <c r="C72" s="118"/>
      <c r="D72" s="118"/>
      <c r="E72" s="118"/>
      <c r="F72" s="118"/>
      <c r="G72" s="288"/>
      <c r="H72" s="289"/>
      <c r="I72" s="289"/>
      <c r="J72" s="288" t="s">
        <v>32</v>
      </c>
      <c r="K72" s="48" t="s">
        <v>78</v>
      </c>
      <c r="N72" s="435">
        <v>0</v>
      </c>
      <c r="O72" s="435">
        <v>2215.4062527797996</v>
      </c>
      <c r="P72" s="435">
        <v>2623.1922171653491</v>
      </c>
      <c r="Q72" s="435">
        <v>2760.4256427776977</v>
      </c>
      <c r="R72" s="435">
        <v>2900.6003962774025</v>
      </c>
      <c r="S72" s="435">
        <v>2960.1855518378147</v>
      </c>
      <c r="T72" s="435">
        <v>1525.0676154822816</v>
      </c>
      <c r="U72" s="435">
        <v>1525.0676154822816</v>
      </c>
      <c r="V72" s="435">
        <v>1525.0676154822816</v>
      </c>
      <c r="W72" s="435">
        <v>1525.0676154822816</v>
      </c>
      <c r="X72" s="435">
        <v>1525.0676154822816</v>
      </c>
      <c r="Y72" s="435">
        <v>1384.3598862910205</v>
      </c>
      <c r="Z72" s="435">
        <v>979.49258296078381</v>
      </c>
      <c r="AA72" s="435">
        <v>846.14757757363168</v>
      </c>
      <c r="AB72" s="435">
        <v>710.00232707334942</v>
      </c>
      <c r="AC72" s="435">
        <v>14.980823269408447</v>
      </c>
      <c r="AD72" s="435">
        <v>14.980823269408447</v>
      </c>
      <c r="AE72" s="435">
        <v>14.980823269408447</v>
      </c>
      <c r="AF72" s="435">
        <v>14.980823269408447</v>
      </c>
      <c r="AG72" s="435">
        <v>14.980823269408447</v>
      </c>
      <c r="AH72" s="435">
        <v>14.980823269408447</v>
      </c>
    </row>
    <row r="73" spans="1:34" outlineLevel="1">
      <c r="A73" s="118"/>
      <c r="B73" s="118"/>
      <c r="C73" s="118"/>
      <c r="D73" s="118"/>
      <c r="E73" s="118"/>
      <c r="F73" s="118"/>
      <c r="G73" s="288"/>
      <c r="H73" s="289"/>
      <c r="I73" s="289"/>
      <c r="J73" s="288" t="s">
        <v>36</v>
      </c>
      <c r="K73" s="48" t="s">
        <v>83</v>
      </c>
      <c r="N73" s="435">
        <v>0</v>
      </c>
      <c r="O73" s="435">
        <v>23969.690258602797</v>
      </c>
      <c r="P73" s="435">
        <v>20533.443210090256</v>
      </c>
      <c r="Q73" s="435">
        <v>26928.720488913044</v>
      </c>
      <c r="R73" s="435">
        <v>15318.841822502289</v>
      </c>
      <c r="S73" s="435">
        <v>37760.497243455611</v>
      </c>
      <c r="T73" s="435">
        <v>0</v>
      </c>
      <c r="U73" s="435">
        <v>0</v>
      </c>
      <c r="V73" s="435">
        <v>0</v>
      </c>
      <c r="W73" s="435">
        <v>0</v>
      </c>
      <c r="X73" s="435">
        <v>0</v>
      </c>
      <c r="Y73" s="435">
        <v>0</v>
      </c>
      <c r="Z73" s="435">
        <v>0</v>
      </c>
      <c r="AA73" s="435">
        <v>0</v>
      </c>
      <c r="AB73" s="435">
        <v>0</v>
      </c>
      <c r="AC73" s="435">
        <v>0</v>
      </c>
      <c r="AD73" s="435">
        <v>0</v>
      </c>
      <c r="AE73" s="435">
        <v>0</v>
      </c>
      <c r="AF73" s="435">
        <v>0</v>
      </c>
      <c r="AG73" s="435">
        <v>0</v>
      </c>
      <c r="AH73" s="435">
        <v>0</v>
      </c>
    </row>
    <row r="74" spans="1:34" outlineLevel="1">
      <c r="A74" s="118"/>
      <c r="B74" s="118"/>
      <c r="C74" s="118"/>
      <c r="D74" s="118"/>
      <c r="E74" s="118"/>
      <c r="F74" s="118"/>
      <c r="G74" s="288"/>
      <c r="H74" s="289"/>
      <c r="I74" s="289"/>
      <c r="J74" s="288" t="s">
        <v>36</v>
      </c>
      <c r="K74" s="48" t="s">
        <v>78</v>
      </c>
      <c r="N74" s="435">
        <v>0</v>
      </c>
      <c r="O74" s="435">
        <v>5000.3309581779895</v>
      </c>
      <c r="P74" s="435">
        <v>9485.9736070242434</v>
      </c>
      <c r="Q74" s="435">
        <v>15294.397226769373</v>
      </c>
      <c r="R74" s="435">
        <v>18912.27229522217</v>
      </c>
      <c r="S74" s="435">
        <v>23657.639800310073</v>
      </c>
      <c r="T74" s="435">
        <v>17755.344793955574</v>
      </c>
      <c r="U74" s="435">
        <v>12211.889526618144</v>
      </c>
      <c r="V74" s="435">
        <v>7508.4206616525389</v>
      </c>
      <c r="W74" s="435">
        <v>4399.3482466943096</v>
      </c>
      <c r="X74" s="435">
        <v>2501.7466020538486</v>
      </c>
      <c r="Y74" s="435">
        <v>2339.1542104007131</v>
      </c>
      <c r="Z74" s="435">
        <v>2136.2116311524233</v>
      </c>
      <c r="AA74" s="435">
        <v>1724.8435274905546</v>
      </c>
      <c r="AB74" s="435">
        <v>1583.6199360420385</v>
      </c>
      <c r="AC74" s="435">
        <v>0</v>
      </c>
      <c r="AD74" s="435">
        <v>0</v>
      </c>
      <c r="AE74" s="435">
        <v>0</v>
      </c>
      <c r="AF74" s="435">
        <v>0</v>
      </c>
      <c r="AG74" s="435">
        <v>0</v>
      </c>
      <c r="AH74" s="435">
        <v>0</v>
      </c>
    </row>
    <row r="75" spans="1:34" outlineLevel="1">
      <c r="A75" s="118"/>
      <c r="B75" s="118"/>
      <c r="C75" s="118"/>
      <c r="D75" s="118"/>
      <c r="E75" s="118"/>
      <c r="F75" s="118"/>
      <c r="G75" s="288"/>
      <c r="H75" s="289"/>
      <c r="I75" s="289"/>
      <c r="J75" s="288" t="s">
        <v>37</v>
      </c>
      <c r="K75" s="48" t="s">
        <v>83</v>
      </c>
      <c r="N75" s="435">
        <v>0</v>
      </c>
      <c r="O75" s="435">
        <v>0</v>
      </c>
      <c r="P75" s="435">
        <v>0</v>
      </c>
      <c r="Q75" s="435">
        <v>0</v>
      </c>
      <c r="R75" s="435">
        <v>0</v>
      </c>
      <c r="S75" s="435">
        <v>0</v>
      </c>
      <c r="T75" s="435">
        <v>0</v>
      </c>
      <c r="U75" s="435">
        <v>0</v>
      </c>
      <c r="V75" s="435">
        <v>0</v>
      </c>
      <c r="W75" s="435">
        <v>0</v>
      </c>
      <c r="X75" s="435">
        <v>0</v>
      </c>
      <c r="Y75" s="435">
        <v>0</v>
      </c>
      <c r="Z75" s="435">
        <v>0</v>
      </c>
      <c r="AA75" s="435">
        <v>0</v>
      </c>
      <c r="AB75" s="435">
        <v>0</v>
      </c>
      <c r="AC75" s="435">
        <v>0</v>
      </c>
      <c r="AD75" s="435">
        <v>0</v>
      </c>
      <c r="AE75" s="435">
        <v>0</v>
      </c>
      <c r="AF75" s="435">
        <v>0</v>
      </c>
      <c r="AG75" s="435">
        <v>0</v>
      </c>
      <c r="AH75" s="435">
        <v>0</v>
      </c>
    </row>
    <row r="76" spans="1:34" outlineLevel="1">
      <c r="A76" s="118"/>
      <c r="B76" s="118"/>
      <c r="C76" s="118"/>
      <c r="D76" s="118"/>
      <c r="E76" s="118"/>
      <c r="F76" s="118"/>
      <c r="G76" s="288"/>
      <c r="H76" s="289"/>
      <c r="I76" s="289"/>
      <c r="J76" s="288" t="s">
        <v>37</v>
      </c>
      <c r="K76" s="48" t="s">
        <v>78</v>
      </c>
      <c r="N76" s="435">
        <v>0</v>
      </c>
      <c r="O76" s="435">
        <v>0</v>
      </c>
      <c r="P76" s="435">
        <v>0</v>
      </c>
      <c r="Q76" s="435">
        <v>0</v>
      </c>
      <c r="R76" s="435">
        <v>0</v>
      </c>
      <c r="S76" s="435">
        <v>0</v>
      </c>
      <c r="T76" s="435">
        <v>0</v>
      </c>
      <c r="U76" s="435">
        <v>0</v>
      </c>
      <c r="V76" s="435">
        <v>0</v>
      </c>
      <c r="W76" s="435">
        <v>0</v>
      </c>
      <c r="X76" s="435">
        <v>0</v>
      </c>
      <c r="Y76" s="435">
        <v>0</v>
      </c>
      <c r="Z76" s="435">
        <v>0</v>
      </c>
      <c r="AA76" s="435">
        <v>0</v>
      </c>
      <c r="AB76" s="435">
        <v>0</v>
      </c>
      <c r="AC76" s="435">
        <v>0</v>
      </c>
      <c r="AD76" s="435">
        <v>0</v>
      </c>
      <c r="AE76" s="435">
        <v>0</v>
      </c>
      <c r="AF76" s="435">
        <v>0</v>
      </c>
      <c r="AG76" s="435">
        <v>0</v>
      </c>
      <c r="AH76" s="435">
        <v>0</v>
      </c>
    </row>
    <row r="77" spans="1:34" outlineLevel="1">
      <c r="A77" s="118"/>
      <c r="B77" s="118"/>
      <c r="C77" s="118"/>
      <c r="D77" s="118"/>
      <c r="E77" s="118"/>
      <c r="F77" s="118"/>
      <c r="G77" s="288"/>
      <c r="H77" s="289"/>
      <c r="I77" s="289"/>
      <c r="J77" s="288" t="s">
        <v>30</v>
      </c>
      <c r="K77" s="48" t="s">
        <v>83</v>
      </c>
      <c r="N77" s="435">
        <v>0</v>
      </c>
      <c r="O77" s="435">
        <v>0</v>
      </c>
      <c r="P77" s="435">
        <v>0</v>
      </c>
      <c r="Q77" s="435">
        <v>0</v>
      </c>
      <c r="R77" s="435">
        <v>0</v>
      </c>
      <c r="S77" s="435">
        <v>0</v>
      </c>
      <c r="T77" s="435">
        <v>0</v>
      </c>
      <c r="U77" s="435">
        <v>0</v>
      </c>
      <c r="V77" s="435">
        <v>0</v>
      </c>
      <c r="W77" s="435">
        <v>0</v>
      </c>
      <c r="X77" s="435">
        <v>0</v>
      </c>
      <c r="Y77" s="435">
        <v>0</v>
      </c>
      <c r="Z77" s="435">
        <v>0</v>
      </c>
      <c r="AA77" s="435">
        <v>0</v>
      </c>
      <c r="AB77" s="435">
        <v>0</v>
      </c>
      <c r="AC77" s="435">
        <v>0</v>
      </c>
      <c r="AD77" s="435">
        <v>0</v>
      </c>
      <c r="AE77" s="435">
        <v>0</v>
      </c>
      <c r="AF77" s="435">
        <v>0</v>
      </c>
      <c r="AG77" s="435">
        <v>0</v>
      </c>
      <c r="AH77" s="435">
        <v>0</v>
      </c>
    </row>
    <row r="78" spans="1:34" outlineLevel="1">
      <c r="A78" s="118"/>
      <c r="B78" s="118"/>
      <c r="C78" s="118"/>
      <c r="D78" s="118"/>
      <c r="E78" s="118"/>
      <c r="F78" s="118"/>
      <c r="G78" s="288"/>
      <c r="H78" s="289"/>
      <c r="I78" s="289"/>
      <c r="J78" s="288" t="s">
        <v>30</v>
      </c>
      <c r="K78" s="48" t="s">
        <v>78</v>
      </c>
      <c r="N78" s="435">
        <v>0</v>
      </c>
      <c r="O78" s="435">
        <v>0</v>
      </c>
      <c r="P78" s="435">
        <v>0</v>
      </c>
      <c r="Q78" s="435">
        <v>0</v>
      </c>
      <c r="R78" s="435">
        <v>0</v>
      </c>
      <c r="S78" s="435">
        <v>0</v>
      </c>
      <c r="T78" s="435">
        <v>0</v>
      </c>
      <c r="U78" s="435">
        <v>0</v>
      </c>
      <c r="V78" s="435">
        <v>0</v>
      </c>
      <c r="W78" s="435">
        <v>0</v>
      </c>
      <c r="X78" s="435">
        <v>0</v>
      </c>
      <c r="Y78" s="435">
        <v>0</v>
      </c>
      <c r="Z78" s="435">
        <v>0</v>
      </c>
      <c r="AA78" s="435">
        <v>0</v>
      </c>
      <c r="AB78" s="435">
        <v>0</v>
      </c>
      <c r="AC78" s="435">
        <v>0</v>
      </c>
      <c r="AD78" s="435">
        <v>0</v>
      </c>
      <c r="AE78" s="435">
        <v>0</v>
      </c>
      <c r="AF78" s="435">
        <v>0</v>
      </c>
      <c r="AG78" s="435">
        <v>0</v>
      </c>
      <c r="AH78" s="435">
        <v>0</v>
      </c>
    </row>
    <row r="79" spans="1:34" outlineLevel="1">
      <c r="A79" s="118"/>
      <c r="B79" s="118"/>
      <c r="C79" s="118"/>
      <c r="D79" s="118"/>
      <c r="E79" s="118"/>
      <c r="F79" s="118"/>
      <c r="G79" s="288"/>
      <c r="H79" s="289"/>
      <c r="I79" s="289"/>
      <c r="J79" s="288" t="s">
        <v>38</v>
      </c>
      <c r="K79" s="48" t="s">
        <v>83</v>
      </c>
      <c r="N79" s="435">
        <v>0</v>
      </c>
      <c r="O79" s="435">
        <v>0</v>
      </c>
      <c r="P79" s="435">
        <v>0</v>
      </c>
      <c r="Q79" s="435">
        <v>0</v>
      </c>
      <c r="R79" s="435">
        <v>0</v>
      </c>
      <c r="S79" s="435">
        <v>0</v>
      </c>
      <c r="T79" s="435">
        <v>0</v>
      </c>
      <c r="U79" s="435">
        <v>0</v>
      </c>
      <c r="V79" s="435">
        <v>0</v>
      </c>
      <c r="W79" s="435">
        <v>0</v>
      </c>
      <c r="X79" s="435">
        <v>0</v>
      </c>
      <c r="Y79" s="435">
        <v>0</v>
      </c>
      <c r="Z79" s="435">
        <v>0</v>
      </c>
      <c r="AA79" s="435">
        <v>0</v>
      </c>
      <c r="AB79" s="435">
        <v>0</v>
      </c>
      <c r="AC79" s="435">
        <v>0</v>
      </c>
      <c r="AD79" s="435">
        <v>0</v>
      </c>
      <c r="AE79" s="435">
        <v>0</v>
      </c>
      <c r="AF79" s="435">
        <v>0</v>
      </c>
      <c r="AG79" s="435">
        <v>0</v>
      </c>
      <c r="AH79" s="435">
        <v>0</v>
      </c>
    </row>
    <row r="80" spans="1:34" outlineLevel="1">
      <c r="A80" s="118"/>
      <c r="B80" s="118"/>
      <c r="C80" s="118"/>
      <c r="D80" s="118"/>
      <c r="E80" s="118"/>
      <c r="F80" s="118"/>
      <c r="G80" s="335"/>
      <c r="H80" s="369"/>
      <c r="I80" s="369"/>
      <c r="J80" s="335" t="s">
        <v>38</v>
      </c>
      <c r="K80" s="336" t="s">
        <v>78</v>
      </c>
      <c r="L80" s="85"/>
      <c r="M80" s="368"/>
      <c r="N80" s="436">
        <v>0</v>
      </c>
      <c r="O80" s="436">
        <v>0</v>
      </c>
      <c r="P80" s="436">
        <v>0</v>
      </c>
      <c r="Q80" s="436">
        <v>0</v>
      </c>
      <c r="R80" s="436">
        <v>0</v>
      </c>
      <c r="S80" s="436">
        <v>0</v>
      </c>
      <c r="T80" s="436">
        <v>0</v>
      </c>
      <c r="U80" s="436">
        <v>0</v>
      </c>
      <c r="V80" s="436">
        <v>0</v>
      </c>
      <c r="W80" s="436">
        <v>0</v>
      </c>
      <c r="X80" s="436">
        <v>0</v>
      </c>
      <c r="Y80" s="436">
        <v>0</v>
      </c>
      <c r="Z80" s="436">
        <v>0</v>
      </c>
      <c r="AA80" s="436">
        <v>0</v>
      </c>
      <c r="AB80" s="436">
        <v>0</v>
      </c>
      <c r="AC80" s="436">
        <v>0</v>
      </c>
      <c r="AD80" s="436">
        <v>0</v>
      </c>
      <c r="AE80" s="436">
        <v>0</v>
      </c>
      <c r="AF80" s="436">
        <v>0</v>
      </c>
      <c r="AG80" s="436">
        <v>0</v>
      </c>
      <c r="AH80" s="436">
        <v>0</v>
      </c>
    </row>
    <row r="81" spans="1:39" outlineLevel="1">
      <c r="A81" s="118"/>
      <c r="B81" s="118"/>
      <c r="C81" s="118"/>
      <c r="D81" s="118"/>
      <c r="E81" s="118"/>
      <c r="F81" s="118"/>
      <c r="G81" s="370" t="s">
        <v>23</v>
      </c>
      <c r="H81" s="371"/>
      <c r="I81" s="371"/>
      <c r="J81" s="370"/>
      <c r="K81" s="48"/>
      <c r="L81" s="1"/>
      <c r="N81" s="372">
        <f>SUMIF($K$9:$K$80, $K$9, N9:N80)</f>
        <v>0</v>
      </c>
      <c r="O81" s="372">
        <f t="shared" ref="O81:S81" si="0">SUMIF($K$9:$K$80, $K$9, O9:O80)</f>
        <v>33556809.338636056</v>
      </c>
      <c r="P81" s="372">
        <f t="shared" si="0"/>
        <v>16636857.548550073</v>
      </c>
      <c r="Q81" s="372">
        <f t="shared" si="0"/>
        <v>7366352.8640304534</v>
      </c>
      <c r="R81" s="372">
        <f t="shared" si="0"/>
        <v>11914854.407447945</v>
      </c>
      <c r="S81" s="372">
        <f t="shared" si="0"/>
        <v>9082762.9826317765</v>
      </c>
      <c r="T81" s="372"/>
      <c r="U81" s="372"/>
      <c r="V81" s="372"/>
      <c r="W81" s="372"/>
      <c r="X81" s="372"/>
    </row>
    <row r="82" spans="1:39" outlineLevel="1">
      <c r="A82" s="118"/>
      <c r="B82" s="118"/>
      <c r="C82" s="118"/>
      <c r="D82" s="118"/>
      <c r="E82" s="118"/>
      <c r="F82" s="118"/>
      <c r="G82" s="370" t="s">
        <v>280</v>
      </c>
      <c r="H82" s="371"/>
      <c r="I82" s="371"/>
      <c r="J82" s="370"/>
      <c r="K82" s="48"/>
      <c r="L82" s="1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</row>
    <row r="83" spans="1:39" outlineLevel="1">
      <c r="A83" s="118"/>
      <c r="B83" s="118"/>
      <c r="C83" s="118"/>
      <c r="D83" s="118"/>
      <c r="E83" s="118"/>
      <c r="F83" s="118"/>
      <c r="G83" s="660" t="s">
        <v>10</v>
      </c>
      <c r="H83" s="371"/>
      <c r="I83" s="371"/>
      <c r="J83" s="370"/>
      <c r="K83" s="48"/>
      <c r="L83" s="1"/>
      <c r="N83" s="372">
        <f>SUMIF($K$9:$K$26, $K$9, N9:N26)</f>
        <v>0</v>
      </c>
      <c r="O83" s="372">
        <f t="shared" ref="O83:S83" si="1">SUMIF($K$9:$K$26, $K$9, O9:O26)</f>
        <v>31651650.705794018</v>
      </c>
      <c r="P83" s="372">
        <f t="shared" si="1"/>
        <v>11273292.018777341</v>
      </c>
      <c r="Q83" s="372">
        <f t="shared" si="1"/>
        <v>6667099.489924049</v>
      </c>
      <c r="R83" s="372">
        <f t="shared" si="1"/>
        <v>6222802.5411173375</v>
      </c>
      <c r="S83" s="372">
        <f t="shared" si="1"/>
        <v>8190522.7420204896</v>
      </c>
      <c r="T83" s="372"/>
      <c r="U83" s="372"/>
      <c r="V83" s="372"/>
      <c r="W83" s="372"/>
      <c r="X83" s="372"/>
    </row>
    <row r="84" spans="1:39" outlineLevel="1">
      <c r="A84" s="118"/>
      <c r="B84" s="118"/>
      <c r="C84" s="118"/>
      <c r="D84" s="118"/>
      <c r="E84" s="118"/>
      <c r="F84" s="118"/>
      <c r="G84" s="660" t="s">
        <v>203</v>
      </c>
      <c r="H84" s="371"/>
      <c r="I84" s="371"/>
      <c r="J84" s="370"/>
      <c r="K84" s="48"/>
      <c r="L84" s="1"/>
      <c r="N84" s="372">
        <f>SUMIF($K$27:$K$44, $K$27, N27:N44)</f>
        <v>0</v>
      </c>
      <c r="O84" s="372">
        <f t="shared" ref="O84:S84" si="2">SUMIF($K$27:$K$44, $K$27, O27:O44)</f>
        <v>1455586.3666726591</v>
      </c>
      <c r="P84" s="372">
        <f t="shared" si="2"/>
        <v>5082963.7330442397</v>
      </c>
      <c r="Q84" s="372">
        <f t="shared" si="2"/>
        <v>399830.98627033969</v>
      </c>
      <c r="R84" s="372">
        <f t="shared" si="2"/>
        <v>5356815.3315217812</v>
      </c>
      <c r="S84" s="372">
        <f t="shared" si="2"/>
        <v>498641.26957815967</v>
      </c>
      <c r="T84" s="372"/>
      <c r="U84" s="372"/>
      <c r="V84" s="372"/>
      <c r="W84" s="372"/>
      <c r="X84" s="372"/>
    </row>
    <row r="85" spans="1:39" outlineLevel="1">
      <c r="A85" s="118"/>
      <c r="B85" s="118"/>
      <c r="C85" s="118"/>
      <c r="D85" s="118"/>
      <c r="E85" s="118"/>
      <c r="F85" s="118"/>
      <c r="G85" s="660" t="s">
        <v>233</v>
      </c>
      <c r="H85" s="371"/>
      <c r="I85" s="371"/>
      <c r="J85" s="370"/>
      <c r="K85" s="48"/>
      <c r="L85" s="1"/>
      <c r="N85" s="372">
        <f>SUMIF($K$45:$K$62, $K$45, N45:N62)</f>
        <v>0</v>
      </c>
      <c r="O85" s="372">
        <f t="shared" ref="O85:S85" si="3">SUMIF($K$45:$K$62, $K$45, O45:O62)</f>
        <v>388393.98214164667</v>
      </c>
      <c r="P85" s="372">
        <f t="shared" si="3"/>
        <v>237925.02045846061</v>
      </c>
      <c r="Q85" s="372">
        <f t="shared" si="3"/>
        <v>252868.35500234109</v>
      </c>
      <c r="R85" s="372">
        <f t="shared" si="3"/>
        <v>287389.92106336867</v>
      </c>
      <c r="S85" s="372">
        <f t="shared" si="3"/>
        <v>328840.17272838665</v>
      </c>
      <c r="T85" s="372"/>
      <c r="U85" s="372"/>
      <c r="V85" s="372"/>
      <c r="W85" s="372"/>
      <c r="X85" s="372"/>
    </row>
    <row r="86" spans="1:39" outlineLevel="1">
      <c r="A86" s="118"/>
      <c r="B86" s="118"/>
      <c r="C86" s="118"/>
      <c r="D86" s="118"/>
      <c r="E86" s="118"/>
      <c r="F86" s="118"/>
      <c r="G86" s="660" t="s">
        <v>226</v>
      </c>
      <c r="H86" s="371"/>
      <c r="I86" s="371"/>
      <c r="J86" s="370"/>
      <c r="K86" s="48"/>
      <c r="L86" s="1"/>
      <c r="N86" s="372">
        <f>SUMIF($K$63:$K$80, $K$9, N63:N80)</f>
        <v>0</v>
      </c>
      <c r="O86" s="372">
        <f t="shared" ref="O86:S86" si="4">SUMIF($K$63:$K$80, $K$9, O63:O80)</f>
        <v>61178.284027728616</v>
      </c>
      <c r="P86" s="372">
        <f t="shared" si="4"/>
        <v>42676.776270029201</v>
      </c>
      <c r="Q86" s="372">
        <f t="shared" si="4"/>
        <v>46554.03283372258</v>
      </c>
      <c r="R86" s="372">
        <f t="shared" si="4"/>
        <v>47846.61374545638</v>
      </c>
      <c r="S86" s="372">
        <f t="shared" si="4"/>
        <v>64758.798304740121</v>
      </c>
      <c r="T86" s="372"/>
      <c r="U86" s="372"/>
      <c r="V86" s="372"/>
      <c r="W86" s="372"/>
      <c r="X86" s="372"/>
    </row>
    <row r="87" spans="1:39" outlineLevel="1">
      <c r="A87" s="118"/>
      <c r="B87" s="118"/>
      <c r="C87" s="118"/>
      <c r="D87" s="118"/>
      <c r="E87" s="118"/>
      <c r="F87" s="118"/>
      <c r="G87" s="370"/>
      <c r="H87" s="371"/>
      <c r="I87" s="371"/>
      <c r="J87" s="370"/>
      <c r="K87" s="48"/>
      <c r="L87" s="1"/>
      <c r="N87" s="372">
        <f>SUM(N83:N86)</f>
        <v>0</v>
      </c>
      <c r="O87" s="372">
        <f t="shared" ref="O87:S87" si="5">SUM(O83:O86)</f>
        <v>33556809.338636048</v>
      </c>
      <c r="P87" s="372">
        <f t="shared" si="5"/>
        <v>16636857.548550071</v>
      </c>
      <c r="Q87" s="372">
        <f t="shared" si="5"/>
        <v>7366352.8640304524</v>
      </c>
      <c r="R87" s="372">
        <f t="shared" si="5"/>
        <v>11914854.407447945</v>
      </c>
      <c r="S87" s="372">
        <f t="shared" si="5"/>
        <v>9082762.9826317746</v>
      </c>
      <c r="T87" s="372"/>
      <c r="U87" s="372"/>
      <c r="V87" s="372"/>
      <c r="W87" s="372"/>
      <c r="X87" s="372"/>
    </row>
    <row r="88" spans="1:39" ht="21" outlineLevel="1">
      <c r="A88" s="118"/>
      <c r="B88" s="118"/>
      <c r="C88" s="118"/>
      <c r="D88" s="118"/>
      <c r="E88" s="118"/>
      <c r="F88" s="118"/>
      <c r="G88" s="223" t="s">
        <v>181</v>
      </c>
      <c r="H88" s="371"/>
      <c r="I88" s="371"/>
      <c r="J88" s="370"/>
      <c r="K88" s="48"/>
      <c r="L88" s="1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556"/>
    </row>
    <row r="89" spans="1:39" outlineLevel="2">
      <c r="A89" s="118"/>
      <c r="B89" s="118"/>
      <c r="C89" s="118"/>
      <c r="D89" s="118"/>
      <c r="E89" s="118"/>
      <c r="F89" s="118"/>
      <c r="G89" s="370" t="s">
        <v>10</v>
      </c>
      <c r="H89" s="371"/>
      <c r="I89" s="371"/>
      <c r="J89" s="370"/>
      <c r="K89" s="48"/>
      <c r="L89" s="1"/>
      <c r="N89" s="372"/>
      <c r="O89" s="372"/>
      <c r="P89" s="372"/>
      <c r="Q89" s="372"/>
      <c r="R89" s="372"/>
      <c r="S89" s="372"/>
      <c r="T89" s="552">
        <v>5980400</v>
      </c>
      <c r="U89" s="552">
        <v>8458644</v>
      </c>
      <c r="V89" s="552">
        <v>10565710</v>
      </c>
      <c r="W89" s="552">
        <v>9749292</v>
      </c>
      <c r="X89" s="552">
        <v>25424109</v>
      </c>
      <c r="Y89" s="552"/>
      <c r="Z89" s="552"/>
      <c r="AA89" s="552"/>
      <c r="AB89" s="552"/>
      <c r="AC89" s="552"/>
      <c r="AD89" s="552"/>
      <c r="AE89" s="552"/>
      <c r="AF89" s="552"/>
      <c r="AG89" s="552"/>
      <c r="AH89" s="552"/>
      <c r="AI89" s="552"/>
      <c r="AJ89" s="552"/>
      <c r="AK89" s="552"/>
      <c r="AL89" s="552"/>
      <c r="AM89" s="552"/>
    </row>
    <row r="90" spans="1:39" outlineLevel="2">
      <c r="A90" s="118"/>
      <c r="B90" s="118"/>
      <c r="C90" s="118"/>
      <c r="D90" s="118"/>
      <c r="E90" s="118"/>
      <c r="F90" s="118"/>
      <c r="G90" s="370" t="s">
        <v>9</v>
      </c>
      <c r="H90" s="371"/>
      <c r="I90" s="371"/>
      <c r="J90" s="370"/>
      <c r="K90" s="48"/>
      <c r="L90" s="1"/>
      <c r="N90" s="372"/>
      <c r="O90" s="372"/>
      <c r="P90" s="372"/>
      <c r="Q90" s="372"/>
      <c r="R90" s="372"/>
      <c r="S90" s="372"/>
      <c r="T90" s="552">
        <v>1014856</v>
      </c>
      <c r="U90" s="552">
        <v>657991</v>
      </c>
      <c r="V90" s="552">
        <v>877436</v>
      </c>
      <c r="W90" s="552">
        <v>637862</v>
      </c>
      <c r="X90" s="552">
        <v>755423</v>
      </c>
      <c r="Y90" s="552"/>
      <c r="Z90" s="552"/>
      <c r="AA90" s="552"/>
      <c r="AB90" s="552"/>
      <c r="AC90" s="552"/>
      <c r="AD90" s="552"/>
      <c r="AE90" s="552"/>
      <c r="AF90" s="552"/>
      <c r="AG90" s="552"/>
      <c r="AH90" s="552"/>
      <c r="AI90" s="552"/>
      <c r="AJ90" s="552"/>
      <c r="AK90" s="552"/>
      <c r="AL90" s="552"/>
      <c r="AM90" s="552"/>
    </row>
    <row r="91" spans="1:39" outlineLevel="2">
      <c r="A91" s="118"/>
      <c r="B91" s="118"/>
      <c r="C91" s="118"/>
      <c r="D91" s="118"/>
      <c r="E91" s="118"/>
      <c r="F91" s="118"/>
      <c r="G91" s="370" t="s">
        <v>169</v>
      </c>
      <c r="H91" s="371"/>
      <c r="I91" s="371"/>
      <c r="J91" s="370"/>
      <c r="K91" s="48"/>
      <c r="L91" s="1"/>
      <c r="N91" s="372"/>
      <c r="O91" s="372"/>
      <c r="P91" s="372"/>
      <c r="Q91" s="372"/>
      <c r="R91" s="372"/>
      <c r="S91" s="372"/>
      <c r="T91" s="552">
        <v>441365</v>
      </c>
      <c r="U91" s="552">
        <v>365829</v>
      </c>
      <c r="V91" s="552">
        <v>553234</v>
      </c>
      <c r="W91" s="552">
        <v>429841</v>
      </c>
      <c r="X91" s="552">
        <v>506786</v>
      </c>
      <c r="Y91" s="552"/>
      <c r="Z91" s="552"/>
      <c r="AA91" s="552"/>
      <c r="AB91" s="552"/>
      <c r="AC91" s="552"/>
      <c r="AD91" s="552"/>
      <c r="AE91" s="552"/>
      <c r="AF91" s="552"/>
      <c r="AG91" s="552"/>
      <c r="AH91" s="552"/>
      <c r="AI91" s="552"/>
      <c r="AJ91" s="552"/>
      <c r="AK91" s="552"/>
      <c r="AL91" s="552"/>
      <c r="AM91" s="552"/>
    </row>
    <row r="92" spans="1:39" outlineLevel="2">
      <c r="A92" s="118"/>
      <c r="B92" s="118"/>
      <c r="C92" s="118"/>
      <c r="D92" s="118"/>
      <c r="E92" s="118"/>
      <c r="F92" s="118"/>
      <c r="G92" s="370" t="s">
        <v>170</v>
      </c>
      <c r="H92" s="371"/>
      <c r="I92" s="371"/>
      <c r="J92" s="370"/>
      <c r="K92" s="48"/>
      <c r="L92" s="1"/>
      <c r="N92" s="372"/>
      <c r="O92" s="372"/>
      <c r="P92" s="372"/>
      <c r="Q92" s="372"/>
      <c r="R92" s="372"/>
      <c r="S92" s="372"/>
      <c r="T92" s="552">
        <v>58771</v>
      </c>
      <c r="U92" s="552">
        <v>55567</v>
      </c>
      <c r="V92" s="552">
        <v>74404</v>
      </c>
      <c r="W92" s="552">
        <v>63849</v>
      </c>
      <c r="X92" s="552">
        <v>72832</v>
      </c>
      <c r="Y92" s="552"/>
      <c r="Z92" s="552"/>
      <c r="AA92" s="552"/>
      <c r="AB92" s="552"/>
      <c r="AC92" s="552"/>
      <c r="AD92" s="552"/>
      <c r="AE92" s="552"/>
      <c r="AF92" s="552"/>
      <c r="AG92" s="552"/>
      <c r="AH92" s="552"/>
      <c r="AI92" s="552"/>
      <c r="AJ92" s="552"/>
      <c r="AK92" s="552"/>
      <c r="AL92" s="552"/>
      <c r="AM92" s="552"/>
    </row>
    <row r="93" spans="1:39" outlineLevel="1">
      <c r="A93" s="118"/>
      <c r="B93" s="118"/>
      <c r="C93" s="118"/>
      <c r="D93" s="118"/>
      <c r="E93" s="118"/>
      <c r="F93" s="118"/>
      <c r="G93" s="288"/>
      <c r="H93" s="289"/>
      <c r="I93" s="289"/>
      <c r="J93" s="288"/>
      <c r="K93" s="48"/>
      <c r="N93" s="294"/>
      <c r="O93" s="294"/>
      <c r="P93" s="294"/>
      <c r="Q93" s="294"/>
      <c r="R93" s="294"/>
      <c r="S93" s="294"/>
      <c r="T93" s="564">
        <f t="shared" ref="T93:X93" si="6">SUM(T89:T92)</f>
        <v>7495392</v>
      </c>
      <c r="U93" s="564">
        <f t="shared" si="6"/>
        <v>9538031</v>
      </c>
      <c r="V93" s="564">
        <f t="shared" si="6"/>
        <v>12070784</v>
      </c>
      <c r="W93" s="564">
        <f t="shared" si="6"/>
        <v>10880844</v>
      </c>
      <c r="X93" s="564">
        <f t="shared" si="6"/>
        <v>26759150</v>
      </c>
      <c r="Y93" s="564"/>
      <c r="Z93" s="553"/>
      <c r="AA93" s="553"/>
      <c r="AB93" s="553"/>
      <c r="AC93" s="553"/>
      <c r="AD93" s="553"/>
      <c r="AE93" s="553"/>
      <c r="AF93" s="553"/>
      <c r="AG93" s="553"/>
      <c r="AH93" s="553"/>
      <c r="AI93" s="553"/>
      <c r="AJ93" s="553"/>
      <c r="AK93" s="553"/>
      <c r="AL93" s="553"/>
      <c r="AM93" s="553"/>
    </row>
    <row r="94" spans="1:39" ht="21">
      <c r="A94" s="118"/>
      <c r="B94" s="118"/>
      <c r="C94" s="118"/>
      <c r="D94" s="118"/>
      <c r="E94" s="118"/>
      <c r="F94" s="118"/>
      <c r="G94" s="223" t="s">
        <v>171</v>
      </c>
      <c r="H94" s="289"/>
      <c r="I94" s="289"/>
      <c r="J94" s="288"/>
      <c r="K94" s="48"/>
      <c r="N94" s="294"/>
      <c r="O94" s="294"/>
      <c r="P94" s="294"/>
      <c r="Q94" s="294"/>
      <c r="R94" s="294"/>
      <c r="S94" s="294"/>
      <c r="T94" s="295"/>
      <c r="U94" s="295"/>
      <c r="V94" s="295"/>
      <c r="W94" s="295"/>
      <c r="X94" s="295"/>
    </row>
    <row r="95" spans="1:39" ht="21">
      <c r="A95" s="100"/>
      <c r="B95" s="100"/>
      <c r="C95" s="100"/>
      <c r="D95" s="100"/>
      <c r="E95" s="100"/>
      <c r="F95" s="100"/>
      <c r="G95" s="301" t="s">
        <v>135</v>
      </c>
      <c r="H95" s="102"/>
      <c r="I95" s="100"/>
      <c r="J95" s="100"/>
      <c r="K95" s="105">
        <f>'[2]Macro Input'!K150</f>
        <v>0</v>
      </c>
      <c r="L95" s="105">
        <f>'[2]Macro Input'!L150</f>
        <v>0</v>
      </c>
      <c r="M95" s="314">
        <f>'[2]Macro Input'!M150</f>
        <v>1</v>
      </c>
      <c r="N95" s="105">
        <f>'[2]Macro Input'!N150</f>
        <v>2</v>
      </c>
      <c r="O95" s="105">
        <f>'[2]Macro Input'!O150</f>
        <v>3</v>
      </c>
      <c r="P95" s="105">
        <f>'[2]Macro Input'!P150</f>
        <v>4</v>
      </c>
      <c r="Q95" s="105">
        <f>'[2]Macro Input'!Q150</f>
        <v>5</v>
      </c>
      <c r="R95" s="105">
        <f>'[2]Macro Input'!R150</f>
        <v>6</v>
      </c>
      <c r="S95" s="105">
        <f>'[2]Macro Input'!S150</f>
        <v>7</v>
      </c>
      <c r="T95" s="105">
        <f>'[2]Macro Input'!T150</f>
        <v>8</v>
      </c>
      <c r="U95" s="105">
        <f>'[2]Macro Input'!U150</f>
        <v>9</v>
      </c>
      <c r="V95" s="105">
        <f>'[2]Macro Input'!V150</f>
        <v>10</v>
      </c>
      <c r="W95" s="105">
        <f>'[2]Macro Input'!W150</f>
        <v>11</v>
      </c>
      <c r="X95" s="105">
        <f>'[2]Macro Input'!X150</f>
        <v>12</v>
      </c>
    </row>
    <row r="96" spans="1:39">
      <c r="A96" s="100"/>
      <c r="B96" s="100"/>
      <c r="C96" s="100"/>
      <c r="D96" s="100"/>
      <c r="E96" s="100"/>
      <c r="F96" s="100"/>
      <c r="G96" s="103"/>
      <c r="H96" s="102"/>
      <c r="I96" s="100"/>
      <c r="J96" s="100"/>
      <c r="K96" s="100"/>
      <c r="L96" s="100"/>
      <c r="M96" s="226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</row>
    <row r="97" spans="1:39" outlineLevel="1">
      <c r="A97" s="100"/>
      <c r="B97" s="100"/>
      <c r="C97" s="100"/>
      <c r="D97" s="100"/>
      <c r="E97" s="100"/>
      <c r="F97" s="100"/>
      <c r="G97" s="44" t="s">
        <v>38</v>
      </c>
      <c r="H97" s="102"/>
      <c r="I97" s="94" t="s">
        <v>28</v>
      </c>
      <c r="J97" s="100"/>
      <c r="K97" s="104">
        <f>'[2]Macro Input'!K152</f>
        <v>0</v>
      </c>
      <c r="L97" s="100"/>
      <c r="M97" s="226"/>
      <c r="N97" s="100">
        <f>$K97</f>
        <v>0</v>
      </c>
      <c r="O97" s="100">
        <f t="shared" ref="O97:AH106" si="7">$K97</f>
        <v>0</v>
      </c>
      <c r="P97" s="100">
        <f t="shared" si="7"/>
        <v>0</v>
      </c>
      <c r="Q97" s="100">
        <f t="shared" si="7"/>
        <v>0</v>
      </c>
      <c r="R97" s="100">
        <f t="shared" si="7"/>
        <v>0</v>
      </c>
      <c r="S97" s="100">
        <f t="shared" si="7"/>
        <v>0</v>
      </c>
      <c r="T97" s="100">
        <f t="shared" si="7"/>
        <v>0</v>
      </c>
      <c r="U97" s="100">
        <f t="shared" si="7"/>
        <v>0</v>
      </c>
      <c r="V97" s="100">
        <f t="shared" si="7"/>
        <v>0</v>
      </c>
      <c r="W97" s="100">
        <f t="shared" si="7"/>
        <v>0</v>
      </c>
      <c r="X97" s="100">
        <f t="shared" si="7"/>
        <v>0</v>
      </c>
      <c r="Y97" s="100">
        <f t="shared" si="7"/>
        <v>0</v>
      </c>
      <c r="Z97" s="100">
        <f t="shared" si="7"/>
        <v>0</v>
      </c>
      <c r="AA97" s="100">
        <f t="shared" si="7"/>
        <v>0</v>
      </c>
      <c r="AB97" s="100">
        <f t="shared" si="7"/>
        <v>0</v>
      </c>
      <c r="AC97" s="100">
        <f t="shared" si="7"/>
        <v>0</v>
      </c>
      <c r="AD97" s="100">
        <f t="shared" si="7"/>
        <v>0</v>
      </c>
      <c r="AE97" s="100">
        <f t="shared" si="7"/>
        <v>0</v>
      </c>
      <c r="AF97" s="100">
        <f t="shared" si="7"/>
        <v>0</v>
      </c>
      <c r="AG97" s="100">
        <f t="shared" si="7"/>
        <v>0</v>
      </c>
      <c r="AH97" s="100">
        <f t="shared" si="7"/>
        <v>0</v>
      </c>
      <c r="AI97" s="100">
        <f t="shared" ref="AI97:AM97" si="8">IF($K97&gt;=AI$95,$K97,0)</f>
        <v>0</v>
      </c>
      <c r="AJ97" s="100">
        <f t="shared" si="8"/>
        <v>0</v>
      </c>
      <c r="AK97" s="100">
        <f t="shared" si="8"/>
        <v>0</v>
      </c>
      <c r="AL97" s="100">
        <f t="shared" si="8"/>
        <v>0</v>
      </c>
      <c r="AM97" s="100">
        <f t="shared" si="8"/>
        <v>0</v>
      </c>
    </row>
    <row r="98" spans="1:39" outlineLevel="1">
      <c r="A98" s="100"/>
      <c r="B98" s="100"/>
      <c r="C98" s="100"/>
      <c r="D98" s="100"/>
      <c r="E98" s="100"/>
      <c r="F98" s="100"/>
      <c r="G98" s="44" t="s">
        <v>37</v>
      </c>
      <c r="H98" s="102"/>
      <c r="I98" s="94" t="s">
        <v>28</v>
      </c>
      <c r="J98" s="100"/>
      <c r="K98" s="104">
        <f>'[2]Macro Input'!K153</f>
        <v>10</v>
      </c>
      <c r="L98" s="100"/>
      <c r="M98" s="226"/>
      <c r="N98" s="100">
        <f t="shared" ref="N98:AC106" si="9">$K98</f>
        <v>10</v>
      </c>
      <c r="O98" s="100">
        <f t="shared" si="9"/>
        <v>10</v>
      </c>
      <c r="P98" s="100">
        <f t="shared" si="9"/>
        <v>10</v>
      </c>
      <c r="Q98" s="100">
        <f t="shared" si="9"/>
        <v>10</v>
      </c>
      <c r="R98" s="100">
        <f t="shared" si="9"/>
        <v>10</v>
      </c>
      <c r="S98" s="100">
        <f t="shared" si="9"/>
        <v>10</v>
      </c>
      <c r="T98" s="100">
        <f t="shared" si="9"/>
        <v>10</v>
      </c>
      <c r="U98" s="100">
        <f t="shared" si="9"/>
        <v>10</v>
      </c>
      <c r="V98" s="100">
        <f t="shared" si="9"/>
        <v>10</v>
      </c>
      <c r="W98" s="100">
        <f t="shared" si="9"/>
        <v>10</v>
      </c>
      <c r="X98" s="100">
        <f t="shared" si="9"/>
        <v>10</v>
      </c>
      <c r="Y98" s="100">
        <f t="shared" si="9"/>
        <v>10</v>
      </c>
      <c r="Z98" s="100">
        <f t="shared" si="9"/>
        <v>10</v>
      </c>
      <c r="AA98" s="100">
        <f t="shared" si="9"/>
        <v>10</v>
      </c>
      <c r="AB98" s="100">
        <f t="shared" si="9"/>
        <v>10</v>
      </c>
      <c r="AC98" s="100">
        <f t="shared" si="9"/>
        <v>10</v>
      </c>
      <c r="AD98" s="100">
        <f t="shared" si="7"/>
        <v>10</v>
      </c>
      <c r="AE98" s="100">
        <f t="shared" si="7"/>
        <v>10</v>
      </c>
      <c r="AF98" s="100">
        <f t="shared" si="7"/>
        <v>10</v>
      </c>
      <c r="AG98" s="100">
        <f t="shared" si="7"/>
        <v>10</v>
      </c>
      <c r="AH98" s="100">
        <f t="shared" si="7"/>
        <v>10</v>
      </c>
      <c r="AI98" s="100">
        <f t="shared" ref="AI98:AM105" si="10">IF($K98&gt;=AI$95,$K98,0)</f>
        <v>10</v>
      </c>
      <c r="AJ98" s="100">
        <f t="shared" si="10"/>
        <v>10</v>
      </c>
      <c r="AK98" s="100">
        <f t="shared" si="10"/>
        <v>10</v>
      </c>
      <c r="AL98" s="100">
        <f t="shared" si="10"/>
        <v>10</v>
      </c>
      <c r="AM98" s="100">
        <f t="shared" si="10"/>
        <v>10</v>
      </c>
    </row>
    <row r="99" spans="1:39" outlineLevel="1">
      <c r="A99" s="100"/>
      <c r="B99" s="100"/>
      <c r="C99" s="100"/>
      <c r="D99" s="100"/>
      <c r="E99" s="100"/>
      <c r="F99" s="100"/>
      <c r="G99" s="44" t="s">
        <v>36</v>
      </c>
      <c r="H99" s="102"/>
      <c r="I99" s="94" t="s">
        <v>28</v>
      </c>
      <c r="J99" s="100"/>
      <c r="K99" s="104">
        <f>'[2]Macro Input'!K154</f>
        <v>5</v>
      </c>
      <c r="L99" s="100"/>
      <c r="M99" s="226"/>
      <c r="N99" s="100">
        <f t="shared" si="9"/>
        <v>5</v>
      </c>
      <c r="O99" s="100">
        <f t="shared" si="7"/>
        <v>5</v>
      </c>
      <c r="P99" s="100">
        <f t="shared" si="7"/>
        <v>5</v>
      </c>
      <c r="Q99" s="100">
        <f t="shared" si="7"/>
        <v>5</v>
      </c>
      <c r="R99" s="100">
        <f t="shared" si="7"/>
        <v>5</v>
      </c>
      <c r="S99" s="100">
        <f t="shared" si="7"/>
        <v>5</v>
      </c>
      <c r="T99" s="100">
        <f t="shared" si="7"/>
        <v>5</v>
      </c>
      <c r="U99" s="100">
        <f t="shared" si="7"/>
        <v>5</v>
      </c>
      <c r="V99" s="100">
        <f t="shared" si="7"/>
        <v>5</v>
      </c>
      <c r="W99" s="100">
        <f t="shared" si="7"/>
        <v>5</v>
      </c>
      <c r="X99" s="100">
        <f t="shared" si="7"/>
        <v>5</v>
      </c>
      <c r="Y99" s="100">
        <f t="shared" si="7"/>
        <v>5</v>
      </c>
      <c r="Z99" s="100">
        <f t="shared" si="7"/>
        <v>5</v>
      </c>
      <c r="AA99" s="100">
        <f t="shared" si="7"/>
        <v>5</v>
      </c>
      <c r="AB99" s="100">
        <f t="shared" si="7"/>
        <v>5</v>
      </c>
      <c r="AC99" s="100">
        <f t="shared" si="7"/>
        <v>5</v>
      </c>
      <c r="AD99" s="100">
        <f t="shared" si="7"/>
        <v>5</v>
      </c>
      <c r="AE99" s="100">
        <f t="shared" si="7"/>
        <v>5</v>
      </c>
      <c r="AF99" s="100">
        <f t="shared" si="7"/>
        <v>5</v>
      </c>
      <c r="AG99" s="100">
        <f t="shared" si="7"/>
        <v>5</v>
      </c>
      <c r="AH99" s="100">
        <f t="shared" si="7"/>
        <v>5</v>
      </c>
      <c r="AI99" s="100">
        <f t="shared" si="10"/>
        <v>5</v>
      </c>
      <c r="AJ99" s="100">
        <f t="shared" si="10"/>
        <v>5</v>
      </c>
      <c r="AK99" s="100">
        <f t="shared" si="10"/>
        <v>5</v>
      </c>
      <c r="AL99" s="100">
        <f t="shared" si="10"/>
        <v>5</v>
      </c>
      <c r="AM99" s="100">
        <f t="shared" si="10"/>
        <v>5</v>
      </c>
    </row>
    <row r="100" spans="1:39" outlineLevel="1">
      <c r="A100" s="100"/>
      <c r="B100" s="100"/>
      <c r="C100" s="100"/>
      <c r="D100" s="100"/>
      <c r="E100" s="100"/>
      <c r="F100" s="100"/>
      <c r="G100" s="44" t="s">
        <v>35</v>
      </c>
      <c r="H100" s="102"/>
      <c r="I100" s="94" t="s">
        <v>28</v>
      </c>
      <c r="J100" s="100"/>
      <c r="K100" s="104">
        <f>'[2]Macro Input'!K155</f>
        <v>10</v>
      </c>
      <c r="L100" s="100"/>
      <c r="M100" s="226"/>
      <c r="N100" s="100">
        <f t="shared" si="9"/>
        <v>10</v>
      </c>
      <c r="O100" s="100">
        <f t="shared" si="7"/>
        <v>10</v>
      </c>
      <c r="P100" s="100">
        <f t="shared" si="7"/>
        <v>10</v>
      </c>
      <c r="Q100" s="100">
        <f t="shared" si="7"/>
        <v>10</v>
      </c>
      <c r="R100" s="100">
        <f t="shared" si="7"/>
        <v>10</v>
      </c>
      <c r="S100" s="100">
        <f t="shared" si="7"/>
        <v>10</v>
      </c>
      <c r="T100" s="100">
        <f t="shared" si="7"/>
        <v>10</v>
      </c>
      <c r="U100" s="100">
        <f t="shared" si="7"/>
        <v>10</v>
      </c>
      <c r="V100" s="100">
        <f t="shared" si="7"/>
        <v>10</v>
      </c>
      <c r="W100" s="100">
        <f t="shared" si="7"/>
        <v>10</v>
      </c>
      <c r="X100" s="100">
        <f t="shared" si="7"/>
        <v>10</v>
      </c>
      <c r="Y100" s="100">
        <f t="shared" si="7"/>
        <v>10</v>
      </c>
      <c r="Z100" s="100">
        <f t="shared" si="7"/>
        <v>10</v>
      </c>
      <c r="AA100" s="100">
        <f t="shared" si="7"/>
        <v>10</v>
      </c>
      <c r="AB100" s="100">
        <f t="shared" si="7"/>
        <v>10</v>
      </c>
      <c r="AC100" s="100">
        <f t="shared" si="7"/>
        <v>10</v>
      </c>
      <c r="AD100" s="100">
        <f t="shared" si="7"/>
        <v>10</v>
      </c>
      <c r="AE100" s="100">
        <f t="shared" si="7"/>
        <v>10</v>
      </c>
      <c r="AF100" s="100">
        <f t="shared" si="7"/>
        <v>10</v>
      </c>
      <c r="AG100" s="100">
        <f t="shared" si="7"/>
        <v>10</v>
      </c>
      <c r="AH100" s="100">
        <f t="shared" si="7"/>
        <v>10</v>
      </c>
      <c r="AI100" s="100">
        <f t="shared" si="10"/>
        <v>10</v>
      </c>
      <c r="AJ100" s="100">
        <f t="shared" si="10"/>
        <v>10</v>
      </c>
      <c r="AK100" s="100">
        <f t="shared" si="10"/>
        <v>10</v>
      </c>
      <c r="AL100" s="100">
        <f t="shared" si="10"/>
        <v>10</v>
      </c>
      <c r="AM100" s="100">
        <f t="shared" si="10"/>
        <v>10</v>
      </c>
    </row>
    <row r="101" spans="1:39" outlineLevel="1">
      <c r="A101" s="100"/>
      <c r="B101" s="100"/>
      <c r="C101" s="100"/>
      <c r="D101" s="100"/>
      <c r="E101" s="100"/>
      <c r="F101" s="100"/>
      <c r="G101" s="44" t="s">
        <v>34</v>
      </c>
      <c r="H101" s="102"/>
      <c r="I101" s="94" t="s">
        <v>28</v>
      </c>
      <c r="J101" s="100"/>
      <c r="K101" s="104">
        <f>'[2]Macro Input'!K156</f>
        <v>10</v>
      </c>
      <c r="L101" s="100"/>
      <c r="M101" s="226"/>
      <c r="N101" s="100">
        <f t="shared" si="9"/>
        <v>10</v>
      </c>
      <c r="O101" s="100">
        <f t="shared" si="7"/>
        <v>10</v>
      </c>
      <c r="P101" s="100">
        <f t="shared" si="7"/>
        <v>10</v>
      </c>
      <c r="Q101" s="100">
        <f t="shared" si="7"/>
        <v>10</v>
      </c>
      <c r="R101" s="100">
        <f t="shared" si="7"/>
        <v>10</v>
      </c>
      <c r="S101" s="100">
        <f t="shared" si="7"/>
        <v>10</v>
      </c>
      <c r="T101" s="100">
        <f t="shared" si="7"/>
        <v>10</v>
      </c>
      <c r="U101" s="100">
        <f t="shared" si="7"/>
        <v>10</v>
      </c>
      <c r="V101" s="100">
        <f t="shared" si="7"/>
        <v>10</v>
      </c>
      <c r="W101" s="100">
        <f t="shared" si="7"/>
        <v>10</v>
      </c>
      <c r="X101" s="100">
        <f t="shared" si="7"/>
        <v>10</v>
      </c>
      <c r="Y101" s="100">
        <f t="shared" si="7"/>
        <v>10</v>
      </c>
      <c r="Z101" s="100">
        <f t="shared" si="7"/>
        <v>10</v>
      </c>
      <c r="AA101" s="100">
        <f t="shared" si="7"/>
        <v>10</v>
      </c>
      <c r="AB101" s="100">
        <f t="shared" si="7"/>
        <v>10</v>
      </c>
      <c r="AC101" s="100">
        <f t="shared" si="7"/>
        <v>10</v>
      </c>
      <c r="AD101" s="100">
        <f t="shared" si="7"/>
        <v>10</v>
      </c>
      <c r="AE101" s="100">
        <f t="shared" si="7"/>
        <v>10</v>
      </c>
      <c r="AF101" s="100">
        <f t="shared" si="7"/>
        <v>10</v>
      </c>
      <c r="AG101" s="100">
        <f t="shared" si="7"/>
        <v>10</v>
      </c>
      <c r="AH101" s="100">
        <f t="shared" si="7"/>
        <v>10</v>
      </c>
      <c r="AI101" s="100">
        <f t="shared" si="10"/>
        <v>10</v>
      </c>
      <c r="AJ101" s="100">
        <f t="shared" si="10"/>
        <v>10</v>
      </c>
      <c r="AK101" s="100">
        <f t="shared" si="10"/>
        <v>10</v>
      </c>
      <c r="AL101" s="100">
        <f t="shared" si="10"/>
        <v>10</v>
      </c>
      <c r="AM101" s="100">
        <f t="shared" si="10"/>
        <v>10</v>
      </c>
    </row>
    <row r="102" spans="1:39" outlineLevel="1">
      <c r="A102" s="100"/>
      <c r="B102" s="100"/>
      <c r="C102" s="100"/>
      <c r="D102" s="100"/>
      <c r="E102" s="100"/>
      <c r="F102" s="100"/>
      <c r="G102" s="44" t="s">
        <v>33</v>
      </c>
      <c r="H102" s="102"/>
      <c r="I102" s="94" t="s">
        <v>28</v>
      </c>
      <c r="J102" s="100"/>
      <c r="K102" s="104">
        <f>'[2]Macro Input'!K157</f>
        <v>33.299999999999997</v>
      </c>
      <c r="L102" s="100"/>
      <c r="M102" s="226"/>
      <c r="N102" s="100">
        <f t="shared" si="9"/>
        <v>33.299999999999997</v>
      </c>
      <c r="O102" s="100">
        <f t="shared" si="7"/>
        <v>33.299999999999997</v>
      </c>
      <c r="P102" s="100">
        <f t="shared" si="7"/>
        <v>33.299999999999997</v>
      </c>
      <c r="Q102" s="100">
        <f t="shared" si="7"/>
        <v>33.299999999999997</v>
      </c>
      <c r="R102" s="100">
        <f t="shared" si="7"/>
        <v>33.299999999999997</v>
      </c>
      <c r="S102" s="100">
        <f t="shared" si="7"/>
        <v>33.299999999999997</v>
      </c>
      <c r="T102" s="100">
        <f t="shared" si="7"/>
        <v>33.299999999999997</v>
      </c>
      <c r="U102" s="100">
        <f t="shared" si="7"/>
        <v>33.299999999999997</v>
      </c>
      <c r="V102" s="100">
        <f t="shared" si="7"/>
        <v>33.299999999999997</v>
      </c>
      <c r="W102" s="100">
        <f t="shared" si="7"/>
        <v>33.299999999999997</v>
      </c>
      <c r="X102" s="100">
        <f t="shared" si="7"/>
        <v>33.299999999999997</v>
      </c>
      <c r="Y102" s="100">
        <f t="shared" si="7"/>
        <v>33.299999999999997</v>
      </c>
      <c r="Z102" s="100">
        <f t="shared" si="7"/>
        <v>33.299999999999997</v>
      </c>
      <c r="AA102" s="100">
        <f t="shared" si="7"/>
        <v>33.299999999999997</v>
      </c>
      <c r="AB102" s="100">
        <f t="shared" si="7"/>
        <v>33.299999999999997</v>
      </c>
      <c r="AC102" s="100">
        <f t="shared" si="7"/>
        <v>33.299999999999997</v>
      </c>
      <c r="AD102" s="100">
        <f t="shared" si="7"/>
        <v>33.299999999999997</v>
      </c>
      <c r="AE102" s="100">
        <f t="shared" si="7"/>
        <v>33.299999999999997</v>
      </c>
      <c r="AF102" s="100">
        <f t="shared" si="7"/>
        <v>33.299999999999997</v>
      </c>
      <c r="AG102" s="100">
        <f t="shared" si="7"/>
        <v>33.299999999999997</v>
      </c>
      <c r="AH102" s="100">
        <f t="shared" si="7"/>
        <v>33.299999999999997</v>
      </c>
      <c r="AI102" s="100">
        <f t="shared" si="10"/>
        <v>33.299999999999997</v>
      </c>
      <c r="AJ102" s="100">
        <f t="shared" si="10"/>
        <v>33.299999999999997</v>
      </c>
      <c r="AK102" s="100">
        <f t="shared" si="10"/>
        <v>33.299999999999997</v>
      </c>
      <c r="AL102" s="100">
        <f t="shared" si="10"/>
        <v>33.299999999999997</v>
      </c>
      <c r="AM102" s="100">
        <f t="shared" si="10"/>
        <v>33.299999999999997</v>
      </c>
    </row>
    <row r="103" spans="1:39" outlineLevel="1">
      <c r="A103" s="100"/>
      <c r="B103" s="100"/>
      <c r="C103" s="100"/>
      <c r="D103" s="100"/>
      <c r="E103" s="100"/>
      <c r="F103" s="100"/>
      <c r="G103" s="44" t="s">
        <v>32</v>
      </c>
      <c r="H103" s="102"/>
      <c r="I103" s="94" t="s">
        <v>28</v>
      </c>
      <c r="J103" s="100"/>
      <c r="K103" s="104">
        <f>'[2]Macro Input'!K158</f>
        <v>10</v>
      </c>
      <c r="L103" s="100"/>
      <c r="M103" s="226"/>
      <c r="N103" s="100">
        <f t="shared" si="9"/>
        <v>10</v>
      </c>
      <c r="O103" s="100">
        <f t="shared" si="7"/>
        <v>10</v>
      </c>
      <c r="P103" s="100">
        <f t="shared" si="7"/>
        <v>10</v>
      </c>
      <c r="Q103" s="100">
        <f t="shared" si="7"/>
        <v>10</v>
      </c>
      <c r="R103" s="100">
        <f t="shared" si="7"/>
        <v>10</v>
      </c>
      <c r="S103" s="100">
        <f t="shared" si="7"/>
        <v>10</v>
      </c>
      <c r="T103" s="100">
        <f t="shared" si="7"/>
        <v>10</v>
      </c>
      <c r="U103" s="100">
        <f t="shared" si="7"/>
        <v>10</v>
      </c>
      <c r="V103" s="100">
        <f t="shared" si="7"/>
        <v>10</v>
      </c>
      <c r="W103" s="100">
        <f t="shared" si="7"/>
        <v>10</v>
      </c>
      <c r="X103" s="100">
        <f t="shared" si="7"/>
        <v>10</v>
      </c>
      <c r="Y103" s="100">
        <f t="shared" si="7"/>
        <v>10</v>
      </c>
      <c r="Z103" s="100">
        <f t="shared" si="7"/>
        <v>10</v>
      </c>
      <c r="AA103" s="100">
        <f t="shared" si="7"/>
        <v>10</v>
      </c>
      <c r="AB103" s="100">
        <f t="shared" si="7"/>
        <v>10</v>
      </c>
      <c r="AC103" s="100">
        <f t="shared" si="7"/>
        <v>10</v>
      </c>
      <c r="AD103" s="100">
        <f t="shared" si="7"/>
        <v>10</v>
      </c>
      <c r="AE103" s="100">
        <f t="shared" si="7"/>
        <v>10</v>
      </c>
      <c r="AF103" s="100">
        <f t="shared" si="7"/>
        <v>10</v>
      </c>
      <c r="AG103" s="100">
        <f t="shared" si="7"/>
        <v>10</v>
      </c>
      <c r="AH103" s="100">
        <f t="shared" si="7"/>
        <v>10</v>
      </c>
      <c r="AI103" s="100">
        <f t="shared" si="10"/>
        <v>10</v>
      </c>
      <c r="AJ103" s="100">
        <f t="shared" si="10"/>
        <v>10</v>
      </c>
      <c r="AK103" s="100">
        <f t="shared" si="10"/>
        <v>10</v>
      </c>
      <c r="AL103" s="100">
        <f t="shared" si="10"/>
        <v>10</v>
      </c>
      <c r="AM103" s="100">
        <f t="shared" si="10"/>
        <v>10</v>
      </c>
    </row>
    <row r="104" spans="1:39" outlineLevel="1">
      <c r="A104" s="100"/>
      <c r="B104" s="100"/>
      <c r="C104" s="100"/>
      <c r="D104" s="100"/>
      <c r="E104" s="100"/>
      <c r="F104" s="100"/>
      <c r="G104" s="44" t="s">
        <v>31</v>
      </c>
      <c r="H104" s="102"/>
      <c r="I104" s="94" t="s">
        <v>28</v>
      </c>
      <c r="J104" s="100"/>
      <c r="K104" s="104">
        <f>'[2]Macro Input'!K159</f>
        <v>27</v>
      </c>
      <c r="L104" s="100"/>
      <c r="M104" s="226"/>
      <c r="N104" s="100">
        <f t="shared" si="9"/>
        <v>27</v>
      </c>
      <c r="O104" s="100">
        <f t="shared" si="7"/>
        <v>27</v>
      </c>
      <c r="P104" s="100">
        <f t="shared" si="7"/>
        <v>27</v>
      </c>
      <c r="Q104" s="100">
        <f t="shared" si="7"/>
        <v>27</v>
      </c>
      <c r="R104" s="100">
        <f t="shared" si="7"/>
        <v>27</v>
      </c>
      <c r="S104" s="100">
        <f t="shared" si="7"/>
        <v>27</v>
      </c>
      <c r="T104" s="100">
        <f t="shared" si="7"/>
        <v>27</v>
      </c>
      <c r="U104" s="100">
        <f t="shared" si="7"/>
        <v>27</v>
      </c>
      <c r="V104" s="100">
        <f t="shared" si="7"/>
        <v>27</v>
      </c>
      <c r="W104" s="100">
        <f t="shared" si="7"/>
        <v>27</v>
      </c>
      <c r="X104" s="100">
        <f t="shared" si="7"/>
        <v>27</v>
      </c>
      <c r="Y104" s="100">
        <f t="shared" si="7"/>
        <v>27</v>
      </c>
      <c r="Z104" s="100">
        <f t="shared" si="7"/>
        <v>27</v>
      </c>
      <c r="AA104" s="100">
        <f t="shared" si="7"/>
        <v>27</v>
      </c>
      <c r="AB104" s="100">
        <f t="shared" si="7"/>
        <v>27</v>
      </c>
      <c r="AC104" s="100">
        <f t="shared" si="7"/>
        <v>27</v>
      </c>
      <c r="AD104" s="100">
        <f t="shared" si="7"/>
        <v>27</v>
      </c>
      <c r="AE104" s="100">
        <f t="shared" si="7"/>
        <v>27</v>
      </c>
      <c r="AF104" s="100">
        <f t="shared" si="7"/>
        <v>27</v>
      </c>
      <c r="AG104" s="100">
        <f t="shared" si="7"/>
        <v>27</v>
      </c>
      <c r="AH104" s="100">
        <f t="shared" si="7"/>
        <v>27</v>
      </c>
      <c r="AI104" s="100">
        <f t="shared" si="10"/>
        <v>27</v>
      </c>
      <c r="AJ104" s="100">
        <f t="shared" si="10"/>
        <v>27</v>
      </c>
      <c r="AK104" s="100">
        <f t="shared" si="10"/>
        <v>27</v>
      </c>
      <c r="AL104" s="100">
        <f t="shared" si="10"/>
        <v>27</v>
      </c>
      <c r="AM104" s="100">
        <f t="shared" si="10"/>
        <v>27</v>
      </c>
    </row>
    <row r="105" spans="1:39" outlineLevel="1">
      <c r="A105" s="100"/>
      <c r="B105" s="100"/>
      <c r="C105" s="100"/>
      <c r="D105" s="100"/>
      <c r="E105" s="100"/>
      <c r="F105" s="100"/>
      <c r="G105" s="44" t="s">
        <v>30</v>
      </c>
      <c r="H105" s="102"/>
      <c r="I105" s="94" t="s">
        <v>28</v>
      </c>
      <c r="J105" s="100"/>
      <c r="K105" s="104">
        <f>'[2]Macro Input'!K160</f>
        <v>40</v>
      </c>
      <c r="L105" s="100"/>
      <c r="M105" s="226"/>
      <c r="N105" s="100">
        <f t="shared" si="9"/>
        <v>40</v>
      </c>
      <c r="O105" s="100">
        <f t="shared" si="7"/>
        <v>40</v>
      </c>
      <c r="P105" s="100">
        <f t="shared" si="7"/>
        <v>40</v>
      </c>
      <c r="Q105" s="100">
        <f t="shared" si="7"/>
        <v>40</v>
      </c>
      <c r="R105" s="100">
        <f t="shared" si="7"/>
        <v>40</v>
      </c>
      <c r="S105" s="100">
        <f t="shared" si="7"/>
        <v>40</v>
      </c>
      <c r="T105" s="100">
        <f t="shared" si="7"/>
        <v>40</v>
      </c>
      <c r="U105" s="100">
        <f t="shared" si="7"/>
        <v>40</v>
      </c>
      <c r="V105" s="100">
        <f t="shared" si="7"/>
        <v>40</v>
      </c>
      <c r="W105" s="100">
        <f t="shared" si="7"/>
        <v>40</v>
      </c>
      <c r="X105" s="100">
        <f t="shared" si="7"/>
        <v>40</v>
      </c>
      <c r="Y105" s="100">
        <f t="shared" si="7"/>
        <v>40</v>
      </c>
      <c r="Z105" s="100">
        <f t="shared" si="7"/>
        <v>40</v>
      </c>
      <c r="AA105" s="100">
        <f t="shared" si="7"/>
        <v>40</v>
      </c>
      <c r="AB105" s="100">
        <f t="shared" si="7"/>
        <v>40</v>
      </c>
      <c r="AC105" s="100">
        <f t="shared" si="7"/>
        <v>40</v>
      </c>
      <c r="AD105" s="100">
        <f t="shared" si="7"/>
        <v>40</v>
      </c>
      <c r="AE105" s="100">
        <f t="shared" si="7"/>
        <v>40</v>
      </c>
      <c r="AF105" s="100">
        <f t="shared" si="7"/>
        <v>40</v>
      </c>
      <c r="AG105" s="100">
        <f t="shared" si="7"/>
        <v>40</v>
      </c>
      <c r="AH105" s="100">
        <f t="shared" si="7"/>
        <v>40</v>
      </c>
      <c r="AI105" s="100">
        <f t="shared" si="10"/>
        <v>40</v>
      </c>
      <c r="AJ105" s="100">
        <f t="shared" si="10"/>
        <v>40</v>
      </c>
      <c r="AK105" s="100">
        <f t="shared" si="10"/>
        <v>40</v>
      </c>
      <c r="AL105" s="100">
        <f t="shared" ref="AI105:AM106" si="11">IF($K105&gt;=AL$95,$K105,0)</f>
        <v>40</v>
      </c>
      <c r="AM105" s="100">
        <f t="shared" si="11"/>
        <v>40</v>
      </c>
    </row>
    <row r="106" spans="1:39" outlineLevel="1">
      <c r="A106" s="100"/>
      <c r="B106" s="100"/>
      <c r="C106" s="100"/>
      <c r="D106" s="100"/>
      <c r="E106" s="100"/>
      <c r="F106" s="100"/>
      <c r="G106" s="44" t="s">
        <v>29</v>
      </c>
      <c r="H106" s="102"/>
      <c r="I106" s="94" t="s">
        <v>28</v>
      </c>
      <c r="J106" s="100"/>
      <c r="K106" s="104">
        <f>'[2]Macro Input'!K161</f>
        <v>4</v>
      </c>
      <c r="L106" s="100"/>
      <c r="M106" s="226"/>
      <c r="N106" s="100">
        <f t="shared" si="9"/>
        <v>4</v>
      </c>
      <c r="O106" s="100">
        <f t="shared" si="7"/>
        <v>4</v>
      </c>
      <c r="P106" s="100">
        <f t="shared" si="7"/>
        <v>4</v>
      </c>
      <c r="Q106" s="100">
        <f t="shared" si="7"/>
        <v>4</v>
      </c>
      <c r="R106" s="100">
        <f t="shared" si="7"/>
        <v>4</v>
      </c>
      <c r="S106" s="100">
        <f t="shared" si="7"/>
        <v>4</v>
      </c>
      <c r="T106" s="100">
        <f t="shared" si="7"/>
        <v>4</v>
      </c>
      <c r="U106" s="100">
        <f t="shared" si="7"/>
        <v>4</v>
      </c>
      <c r="V106" s="100">
        <f t="shared" si="7"/>
        <v>4</v>
      </c>
      <c r="W106" s="100">
        <f t="shared" si="7"/>
        <v>4</v>
      </c>
      <c r="X106" s="100">
        <f t="shared" si="7"/>
        <v>4</v>
      </c>
      <c r="Y106" s="100">
        <f t="shared" si="7"/>
        <v>4</v>
      </c>
      <c r="Z106" s="100">
        <f t="shared" si="7"/>
        <v>4</v>
      </c>
      <c r="AA106" s="100">
        <f t="shared" si="7"/>
        <v>4</v>
      </c>
      <c r="AB106" s="100">
        <f t="shared" si="7"/>
        <v>4</v>
      </c>
      <c r="AC106" s="100">
        <f t="shared" si="7"/>
        <v>4</v>
      </c>
      <c r="AD106" s="100">
        <f t="shared" si="7"/>
        <v>4</v>
      </c>
      <c r="AE106" s="100">
        <f t="shared" si="7"/>
        <v>4</v>
      </c>
      <c r="AF106" s="100">
        <f t="shared" si="7"/>
        <v>4</v>
      </c>
      <c r="AG106" s="100">
        <f t="shared" si="7"/>
        <v>4</v>
      </c>
      <c r="AH106" s="100">
        <f t="shared" si="7"/>
        <v>4</v>
      </c>
      <c r="AI106" s="100">
        <f t="shared" si="11"/>
        <v>4</v>
      </c>
      <c r="AJ106" s="100">
        <f t="shared" si="11"/>
        <v>4</v>
      </c>
      <c r="AK106" s="100">
        <f t="shared" si="11"/>
        <v>4</v>
      </c>
      <c r="AL106" s="100">
        <f t="shared" si="11"/>
        <v>4</v>
      </c>
      <c r="AM106" s="100">
        <f t="shared" si="11"/>
        <v>4</v>
      </c>
    </row>
    <row r="107" spans="1:39" outlineLevel="1">
      <c r="A107" s="100"/>
      <c r="B107" s="100"/>
      <c r="C107" s="100"/>
      <c r="D107" s="100"/>
      <c r="E107" s="100"/>
      <c r="F107" s="100"/>
      <c r="G107" s="103"/>
      <c r="H107" s="102"/>
      <c r="I107" s="100"/>
      <c r="J107" s="100"/>
      <c r="K107" s="100"/>
      <c r="L107" s="100"/>
      <c r="M107" s="226"/>
      <c r="N107" s="100"/>
      <c r="O107" s="100"/>
      <c r="P107" s="100"/>
      <c r="Q107" s="100"/>
      <c r="R107" s="100"/>
      <c r="S107" s="100"/>
    </row>
    <row r="108" spans="1:39" ht="21">
      <c r="A108" s="118"/>
      <c r="B108" s="118"/>
      <c r="C108" s="118"/>
      <c r="D108" s="118"/>
      <c r="E108" s="118"/>
      <c r="F108" s="118"/>
      <c r="G108" s="223"/>
      <c r="H108" s="118"/>
      <c r="I108" s="118"/>
      <c r="J108" s="118"/>
      <c r="K108" s="118"/>
      <c r="L108" s="118"/>
      <c r="M108" s="208"/>
      <c r="N108" s="118"/>
      <c r="O108" s="118"/>
      <c r="P108" s="118"/>
      <c r="Q108" s="118"/>
      <c r="R108" s="118"/>
      <c r="S108" s="118"/>
    </row>
    <row r="109" spans="1:39" ht="21">
      <c r="A109" s="118"/>
      <c r="B109" s="118"/>
      <c r="C109" s="118"/>
      <c r="D109" s="118"/>
      <c r="E109" s="118"/>
      <c r="F109" s="118"/>
      <c r="G109" s="223"/>
      <c r="H109" s="118"/>
      <c r="I109" s="118"/>
      <c r="J109" s="118"/>
      <c r="K109" s="118"/>
      <c r="L109" s="118"/>
      <c r="M109" s="208"/>
      <c r="N109" s="118"/>
      <c r="O109" s="118"/>
      <c r="P109" s="118"/>
      <c r="Q109" s="118"/>
      <c r="R109" s="118"/>
      <c r="S109" s="118"/>
    </row>
    <row r="110" spans="1:39" ht="21">
      <c r="A110" s="100"/>
      <c r="B110" s="100"/>
      <c r="C110" s="100"/>
      <c r="D110" s="179"/>
      <c r="E110" s="165"/>
      <c r="F110" s="165"/>
      <c r="G110" s="301" t="s">
        <v>136</v>
      </c>
      <c r="I110" s="165"/>
      <c r="J110" s="165"/>
      <c r="K110" s="165"/>
      <c r="L110" s="165"/>
      <c r="M110" s="226"/>
      <c r="N110" s="165"/>
      <c r="O110" s="165"/>
      <c r="P110" s="165"/>
      <c r="Q110" s="165"/>
      <c r="R110" s="165"/>
      <c r="S110" s="165"/>
    </row>
    <row r="111" spans="1:39" outlineLevel="1">
      <c r="A111" s="100"/>
      <c r="B111" s="100"/>
      <c r="C111" s="100"/>
      <c r="D111" s="179"/>
      <c r="E111" s="165"/>
      <c r="F111" s="165"/>
      <c r="G111" s="213"/>
      <c r="H111" s="165"/>
      <c r="I111" s="165"/>
      <c r="J111" s="165"/>
      <c r="K111" s="165"/>
      <c r="L111" s="165"/>
      <c r="M111" s="226"/>
      <c r="N111" s="165"/>
      <c r="O111" s="165"/>
      <c r="P111" s="165"/>
      <c r="Q111" s="165"/>
      <c r="R111" s="165"/>
      <c r="S111" s="165"/>
    </row>
    <row r="112" spans="1:39" ht="15.75" outlineLevel="1">
      <c r="A112" s="100"/>
      <c r="B112" s="100"/>
      <c r="C112" s="100"/>
      <c r="D112" s="179"/>
      <c r="E112" s="165"/>
      <c r="F112" s="165"/>
      <c r="G112" s="89" t="s">
        <v>81</v>
      </c>
      <c r="H112" s="212" t="str">
        <f>H498</f>
        <v>Airfield</v>
      </c>
      <c r="I112" s="211"/>
      <c r="J112" s="210"/>
      <c r="K112" s="207"/>
      <c r="L112" s="165"/>
      <c r="M112" s="226"/>
      <c r="N112" s="165"/>
      <c r="O112" s="165"/>
      <c r="P112" s="165"/>
      <c r="Q112" s="165"/>
      <c r="R112" s="165"/>
      <c r="S112" s="165"/>
    </row>
    <row r="113" spans="1:39" outlineLevel="1">
      <c r="A113" s="100"/>
      <c r="B113" s="100"/>
      <c r="C113" s="100"/>
      <c r="D113" s="179"/>
      <c r="E113" s="165"/>
      <c r="F113" s="165"/>
      <c r="G113" s="209"/>
      <c r="H113" s="121"/>
      <c r="I113" s="165"/>
      <c r="J113" s="165"/>
      <c r="K113" s="207"/>
      <c r="L113" s="165"/>
      <c r="M113" s="226"/>
      <c r="N113" s="165"/>
      <c r="O113" s="165"/>
      <c r="P113" s="165"/>
      <c r="Q113" s="165"/>
      <c r="R113" s="165"/>
      <c r="S113" s="165"/>
    </row>
    <row r="114" spans="1:39" outlineLevel="1">
      <c r="A114" s="100"/>
      <c r="B114" s="100"/>
      <c r="C114" s="100"/>
      <c r="D114" s="179"/>
      <c r="E114" s="165"/>
      <c r="F114" s="165"/>
      <c r="G114" s="206" t="str">
        <f>G500</f>
        <v>Land</v>
      </c>
      <c r="H114" s="121"/>
      <c r="I114" s="165"/>
      <c r="J114" s="165"/>
      <c r="K114" s="164"/>
      <c r="L114" s="164"/>
      <c r="M114" s="226"/>
      <c r="N114" s="165"/>
      <c r="O114" s="165"/>
      <c r="P114" s="165"/>
      <c r="Q114" s="165"/>
      <c r="R114" s="165"/>
      <c r="S114" s="165"/>
    </row>
    <row r="115" spans="1:39" outlineLevel="1">
      <c r="A115" s="100"/>
      <c r="B115" s="100"/>
      <c r="C115" s="100"/>
      <c r="D115" s="179"/>
      <c r="E115" s="165"/>
      <c r="F115" s="165"/>
      <c r="G115" s="205"/>
      <c r="H115" s="121"/>
      <c r="I115" s="165"/>
      <c r="J115" s="165"/>
      <c r="K115" s="164"/>
      <c r="L115" s="164"/>
      <c r="M115" s="226"/>
      <c r="N115" s="165"/>
      <c r="O115" s="165"/>
      <c r="P115" s="165"/>
      <c r="Q115" s="165"/>
      <c r="R115" s="165"/>
      <c r="S115" s="165"/>
    </row>
    <row r="116" spans="1:39" outlineLevel="1">
      <c r="A116" s="100"/>
      <c r="B116" s="100"/>
      <c r="C116" s="100"/>
      <c r="D116" s="179" t="str">
        <f t="shared" ref="D116:D121" si="12">$G$500</f>
        <v>Land</v>
      </c>
      <c r="E116" s="165" t="str">
        <f>H498</f>
        <v>Airfield</v>
      </c>
      <c r="F116" s="165"/>
      <c r="G116" s="165" t="s">
        <v>80</v>
      </c>
      <c r="H116" s="121"/>
      <c r="I116" s="165"/>
      <c r="J116" s="165"/>
      <c r="K116" s="164"/>
      <c r="L116" s="164"/>
      <c r="M116" s="227"/>
      <c r="N116" s="535"/>
      <c r="O116" s="197">
        <f>$N$121</f>
        <v>78896231.928000003</v>
      </c>
      <c r="P116" s="164">
        <f t="shared" ref="P116:X116" si="13">O121</f>
        <v>78896231.928000003</v>
      </c>
      <c r="Q116" s="164">
        <f t="shared" si="13"/>
        <v>78896231.928000003</v>
      </c>
      <c r="R116" s="164">
        <f t="shared" si="13"/>
        <v>78896231.928000003</v>
      </c>
      <c r="S116" s="164">
        <f t="shared" si="13"/>
        <v>78896231.928000003</v>
      </c>
      <c r="T116" s="164">
        <f t="shared" si="13"/>
        <v>78896231.928000003</v>
      </c>
      <c r="U116" s="164">
        <f t="shared" si="13"/>
        <v>78896231.928000003</v>
      </c>
      <c r="V116" s="164">
        <f t="shared" si="13"/>
        <v>78896231.928000003</v>
      </c>
      <c r="W116" s="164">
        <f t="shared" si="13"/>
        <v>78896231.928000003</v>
      </c>
      <c r="X116" s="164">
        <f t="shared" si="13"/>
        <v>78896231.928000003</v>
      </c>
      <c r="Y116" s="164">
        <f t="shared" ref="Y116:AM116" si="14">X121</f>
        <v>78896231.928000003</v>
      </c>
      <c r="Z116" s="164">
        <f t="shared" si="14"/>
        <v>78896231.928000003</v>
      </c>
      <c r="AA116" s="164">
        <f t="shared" si="14"/>
        <v>78896231.928000003</v>
      </c>
      <c r="AB116" s="164">
        <f t="shared" si="14"/>
        <v>78896231.928000003</v>
      </c>
      <c r="AC116" s="164">
        <f t="shared" si="14"/>
        <v>78896231.928000003</v>
      </c>
      <c r="AD116" s="164">
        <f t="shared" si="14"/>
        <v>78896231.928000003</v>
      </c>
      <c r="AE116" s="164">
        <f t="shared" si="14"/>
        <v>78896231.928000003</v>
      </c>
      <c r="AF116" s="164">
        <f t="shared" si="14"/>
        <v>78896231.928000003</v>
      </c>
      <c r="AG116" s="164">
        <f t="shared" si="14"/>
        <v>78896231.928000003</v>
      </c>
      <c r="AH116" s="164">
        <f t="shared" si="14"/>
        <v>78896231.928000003</v>
      </c>
      <c r="AI116" s="164">
        <f t="shared" si="14"/>
        <v>78896231.928000003</v>
      </c>
      <c r="AJ116" s="164">
        <f t="shared" si="14"/>
        <v>78896231.928000003</v>
      </c>
      <c r="AK116" s="164">
        <f t="shared" si="14"/>
        <v>78896231.928000003</v>
      </c>
      <c r="AL116" s="164">
        <f t="shared" si="14"/>
        <v>78896231.928000003</v>
      </c>
      <c r="AM116" s="164">
        <f t="shared" si="14"/>
        <v>78896231.928000003</v>
      </c>
    </row>
    <row r="117" spans="1:39" outlineLevel="1">
      <c r="A117" s="100"/>
      <c r="B117" s="100"/>
      <c r="C117" s="100"/>
      <c r="D117" s="179" t="str">
        <f t="shared" si="12"/>
        <v>Land</v>
      </c>
      <c r="E117" s="165" t="str">
        <f>H498</f>
        <v>Airfield</v>
      </c>
      <c r="F117" s="165"/>
      <c r="G117" s="165" t="s">
        <v>60</v>
      </c>
      <c r="H117" s="121"/>
      <c r="I117" s="165"/>
      <c r="J117" s="165"/>
      <c r="K117" s="203"/>
      <c r="L117" s="203"/>
      <c r="M117" s="202"/>
      <c r="N117" s="535">
        <f>N116</f>
        <v>0</v>
      </c>
      <c r="O117" s="197">
        <f>$N$121</f>
        <v>78896231.928000003</v>
      </c>
      <c r="P117" s="164">
        <f t="shared" ref="P117:X117" si="15">O117</f>
        <v>78896231.928000003</v>
      </c>
      <c r="Q117" s="164">
        <f t="shared" si="15"/>
        <v>78896231.928000003</v>
      </c>
      <c r="R117" s="164">
        <f t="shared" si="15"/>
        <v>78896231.928000003</v>
      </c>
      <c r="S117" s="164">
        <f t="shared" si="15"/>
        <v>78896231.928000003</v>
      </c>
      <c r="T117" s="164">
        <f t="shared" si="15"/>
        <v>78896231.928000003</v>
      </c>
      <c r="U117" s="164">
        <f t="shared" si="15"/>
        <v>78896231.928000003</v>
      </c>
      <c r="V117" s="164">
        <f t="shared" si="15"/>
        <v>78896231.928000003</v>
      </c>
      <c r="W117" s="164">
        <f t="shared" si="15"/>
        <v>78896231.928000003</v>
      </c>
      <c r="X117" s="164">
        <f t="shared" si="15"/>
        <v>78896231.928000003</v>
      </c>
      <c r="Y117" s="164">
        <f t="shared" ref="Y117:AM117" si="16">X117</f>
        <v>78896231.928000003</v>
      </c>
      <c r="Z117" s="164">
        <f t="shared" si="16"/>
        <v>78896231.928000003</v>
      </c>
      <c r="AA117" s="164">
        <f t="shared" si="16"/>
        <v>78896231.928000003</v>
      </c>
      <c r="AB117" s="164">
        <f t="shared" si="16"/>
        <v>78896231.928000003</v>
      </c>
      <c r="AC117" s="164">
        <f t="shared" si="16"/>
        <v>78896231.928000003</v>
      </c>
      <c r="AD117" s="164">
        <f t="shared" si="16"/>
        <v>78896231.928000003</v>
      </c>
      <c r="AE117" s="164">
        <f t="shared" si="16"/>
        <v>78896231.928000003</v>
      </c>
      <c r="AF117" s="164">
        <f t="shared" si="16"/>
        <v>78896231.928000003</v>
      </c>
      <c r="AG117" s="164">
        <f t="shared" si="16"/>
        <v>78896231.928000003</v>
      </c>
      <c r="AH117" s="164">
        <f t="shared" si="16"/>
        <v>78896231.928000003</v>
      </c>
      <c r="AI117" s="164">
        <f t="shared" si="16"/>
        <v>78896231.928000003</v>
      </c>
      <c r="AJ117" s="164">
        <f t="shared" si="16"/>
        <v>78896231.928000003</v>
      </c>
      <c r="AK117" s="164">
        <f t="shared" si="16"/>
        <v>78896231.928000003</v>
      </c>
      <c r="AL117" s="164">
        <f t="shared" si="16"/>
        <v>78896231.928000003</v>
      </c>
      <c r="AM117" s="164">
        <f t="shared" si="16"/>
        <v>78896231.928000003</v>
      </c>
    </row>
    <row r="118" spans="1:39" outlineLevel="1">
      <c r="A118" s="100"/>
      <c r="B118" s="100"/>
      <c r="C118" s="100"/>
      <c r="D118" s="179" t="str">
        <f t="shared" si="12"/>
        <v>Land</v>
      </c>
      <c r="E118" s="165" t="str">
        <f>H498</f>
        <v>Airfield</v>
      </c>
      <c r="F118" s="165"/>
      <c r="G118" s="165" t="s">
        <v>79</v>
      </c>
      <c r="H118" s="121"/>
      <c r="I118" s="165"/>
      <c r="J118" s="165"/>
      <c r="K118" s="203"/>
      <c r="L118" s="203"/>
      <c r="M118" s="202"/>
      <c r="N118" s="535">
        <f>[2]OUTPUT!N158</f>
        <v>0</v>
      </c>
      <c r="O118" s="197">
        <f t="shared" ref="O118:X118" si="17">N120</f>
        <v>0</v>
      </c>
      <c r="P118" s="164">
        <f t="shared" si="17"/>
        <v>0</v>
      </c>
      <c r="Q118" s="164">
        <f t="shared" si="17"/>
        <v>0</v>
      </c>
      <c r="R118" s="164">
        <f t="shared" si="17"/>
        <v>0</v>
      </c>
      <c r="S118" s="164">
        <f t="shared" si="17"/>
        <v>0</v>
      </c>
      <c r="T118" s="164">
        <f t="shared" si="17"/>
        <v>0</v>
      </c>
      <c r="U118" s="164">
        <f t="shared" si="17"/>
        <v>0</v>
      </c>
      <c r="V118" s="164">
        <f t="shared" si="17"/>
        <v>0</v>
      </c>
      <c r="W118" s="164">
        <f t="shared" si="17"/>
        <v>0</v>
      </c>
      <c r="X118" s="164">
        <f t="shared" si="17"/>
        <v>0</v>
      </c>
      <c r="Y118" s="164">
        <f t="shared" ref="Y118:AM118" si="18">X120</f>
        <v>0</v>
      </c>
      <c r="Z118" s="164">
        <f t="shared" si="18"/>
        <v>0</v>
      </c>
      <c r="AA118" s="164">
        <f t="shared" si="18"/>
        <v>0</v>
      </c>
      <c r="AB118" s="164">
        <f t="shared" si="18"/>
        <v>0</v>
      </c>
      <c r="AC118" s="164">
        <f t="shared" si="18"/>
        <v>0</v>
      </c>
      <c r="AD118" s="164">
        <f t="shared" si="18"/>
        <v>0</v>
      </c>
      <c r="AE118" s="164">
        <f t="shared" si="18"/>
        <v>0</v>
      </c>
      <c r="AF118" s="164">
        <f t="shared" si="18"/>
        <v>0</v>
      </c>
      <c r="AG118" s="164">
        <f t="shared" si="18"/>
        <v>0</v>
      </c>
      <c r="AH118" s="164">
        <f t="shared" si="18"/>
        <v>0</v>
      </c>
      <c r="AI118" s="164">
        <f t="shared" si="18"/>
        <v>0</v>
      </c>
      <c r="AJ118" s="164">
        <f t="shared" si="18"/>
        <v>0</v>
      </c>
      <c r="AK118" s="164">
        <f t="shared" si="18"/>
        <v>0</v>
      </c>
      <c r="AL118" s="164">
        <f t="shared" si="18"/>
        <v>0</v>
      </c>
      <c r="AM118" s="164">
        <f t="shared" si="18"/>
        <v>0</v>
      </c>
    </row>
    <row r="119" spans="1:39" outlineLevel="1">
      <c r="A119" s="100"/>
      <c r="B119" s="100"/>
      <c r="C119" s="100"/>
      <c r="D119" s="179" t="str">
        <f t="shared" si="12"/>
        <v>Land</v>
      </c>
      <c r="E119" s="165" t="str">
        <f>H498</f>
        <v>Airfield</v>
      </c>
      <c r="F119" s="165"/>
      <c r="G119" s="165" t="s">
        <v>78</v>
      </c>
      <c r="H119" s="121"/>
      <c r="I119" s="165"/>
      <c r="J119" s="165"/>
      <c r="K119" s="203"/>
      <c r="L119" s="203"/>
      <c r="M119" s="202"/>
      <c r="N119" s="535">
        <f>[2]OUTPUT!N159</f>
        <v>0</v>
      </c>
      <c r="O119" s="197">
        <f>IFERROR(MIN(O116,O117/'Asset base'!O$97),0)</f>
        <v>0</v>
      </c>
      <c r="P119" s="164">
        <f>IFERROR(MIN(P116,P117/'Asset base'!P$97),0)</f>
        <v>0</v>
      </c>
      <c r="Q119" s="164">
        <f>IFERROR(MIN(Q116,Q117/'Asset base'!Q$97),0)</f>
        <v>0</v>
      </c>
      <c r="R119" s="164">
        <f>IFERROR(MIN(R116,R117/'Asset base'!R$97),0)</f>
        <v>0</v>
      </c>
      <c r="S119" s="164">
        <f>IFERROR(MIN(S116,S117/'Asset base'!S$97),0)</f>
        <v>0</v>
      </c>
      <c r="T119" s="164">
        <f>IFERROR(MIN(T116,T117/'Asset base'!T$97),0)</f>
        <v>0</v>
      </c>
      <c r="U119" s="164">
        <f>IFERROR(MIN(U116,U117/'Asset base'!U$97),0)</f>
        <v>0</v>
      </c>
      <c r="V119" s="164">
        <f>IFERROR(MIN(V116,V117/'Asset base'!V$97),0)</f>
        <v>0</v>
      </c>
      <c r="W119" s="164">
        <f>IFERROR(MIN(W116,W117/'Asset base'!W$97),0)</f>
        <v>0</v>
      </c>
      <c r="X119" s="164">
        <f>IFERROR(MIN(X116,X117/'Asset base'!X$97),0)</f>
        <v>0</v>
      </c>
      <c r="Y119" s="164">
        <f>IFERROR(MIN(Y116,Y117/'Asset base'!Y$97),0)</f>
        <v>0</v>
      </c>
      <c r="Z119" s="164">
        <f>IFERROR(MIN(Z116,Z117/'Asset base'!Z$97),0)</f>
        <v>0</v>
      </c>
      <c r="AA119" s="164">
        <f>IFERROR(MIN(AA116,AA117/'Asset base'!AA$97),0)</f>
        <v>0</v>
      </c>
      <c r="AB119" s="164">
        <f>IFERROR(MIN(AB116,AB117/'Asset base'!AB$97),0)</f>
        <v>0</v>
      </c>
      <c r="AC119" s="164">
        <f>IFERROR(MIN(AC116,AC117/'Asset base'!AC$97),0)</f>
        <v>0</v>
      </c>
      <c r="AD119" s="164">
        <f>IFERROR(MIN(AD116,AD117/'Asset base'!AD$97),0)</f>
        <v>0</v>
      </c>
      <c r="AE119" s="164">
        <f>IFERROR(MIN(AE116,AE117/'Asset base'!AE$97),0)</f>
        <v>0</v>
      </c>
      <c r="AF119" s="164">
        <f>IFERROR(MIN(AF116,AF117/'Asset base'!AF$97),0)</f>
        <v>0</v>
      </c>
      <c r="AG119" s="164">
        <f>IFERROR(MIN(AG116,AG117/'Asset base'!AG$97),0)</f>
        <v>0</v>
      </c>
      <c r="AH119" s="164">
        <f>IFERROR(MIN(AH116,AH117/'Asset base'!AH$97),0)</f>
        <v>0</v>
      </c>
      <c r="AI119" s="164">
        <f>IFERROR(MIN(AI116,AI117/'Asset base'!AI$97),0)</f>
        <v>0</v>
      </c>
      <c r="AJ119" s="164">
        <f>IFERROR(MIN(AJ116,AJ117/'Asset base'!AJ$97),0)</f>
        <v>0</v>
      </c>
      <c r="AK119" s="164">
        <f>IFERROR(MIN(AK116,AK117/'Asset base'!AK$97),0)</f>
        <v>0</v>
      </c>
      <c r="AL119" s="164">
        <f>IFERROR(MIN(AL116,AL117/'Asset base'!AL$97),0)</f>
        <v>0</v>
      </c>
      <c r="AM119" s="164">
        <f>IFERROR(MIN(AM116,AM117/'Asset base'!AM$97),0)</f>
        <v>0</v>
      </c>
    </row>
    <row r="120" spans="1:39" outlineLevel="1">
      <c r="A120" s="100"/>
      <c r="B120" s="100"/>
      <c r="C120" s="100"/>
      <c r="D120" s="179" t="str">
        <f t="shared" si="12"/>
        <v>Land</v>
      </c>
      <c r="E120" s="165" t="str">
        <f>H498</f>
        <v>Airfield</v>
      </c>
      <c r="F120" s="165"/>
      <c r="G120" s="165" t="s">
        <v>77</v>
      </c>
      <c r="H120" s="121"/>
      <c r="I120" s="165"/>
      <c r="J120" s="165"/>
      <c r="K120" s="302"/>
      <c r="L120" s="302"/>
      <c r="M120" s="315"/>
      <c r="N120" s="535">
        <f>[2]OUTPUT!N160</f>
        <v>0</v>
      </c>
      <c r="O120" s="197">
        <f t="shared" ref="O120:X120" si="19">SUM(O118:O119)</f>
        <v>0</v>
      </c>
      <c r="P120" s="164">
        <f t="shared" si="19"/>
        <v>0</v>
      </c>
      <c r="Q120" s="164">
        <f t="shared" si="19"/>
        <v>0</v>
      </c>
      <c r="R120" s="164">
        <f t="shared" si="19"/>
        <v>0</v>
      </c>
      <c r="S120" s="164">
        <f t="shared" si="19"/>
        <v>0</v>
      </c>
      <c r="T120" s="164">
        <f t="shared" si="19"/>
        <v>0</v>
      </c>
      <c r="U120" s="164">
        <f t="shared" si="19"/>
        <v>0</v>
      </c>
      <c r="V120" s="164">
        <f t="shared" si="19"/>
        <v>0</v>
      </c>
      <c r="W120" s="164">
        <f t="shared" si="19"/>
        <v>0</v>
      </c>
      <c r="X120" s="164">
        <f t="shared" si="19"/>
        <v>0</v>
      </c>
      <c r="Y120" s="164">
        <f>SUM(Y118:Y119)</f>
        <v>0</v>
      </c>
      <c r="Z120" s="164">
        <f t="shared" ref="Z120:AM120" si="20">SUM(Z118:Z119)</f>
        <v>0</v>
      </c>
      <c r="AA120" s="164">
        <f t="shared" si="20"/>
        <v>0</v>
      </c>
      <c r="AB120" s="164">
        <f t="shared" si="20"/>
        <v>0</v>
      </c>
      <c r="AC120" s="164">
        <f t="shared" si="20"/>
        <v>0</v>
      </c>
      <c r="AD120" s="164">
        <f t="shared" si="20"/>
        <v>0</v>
      </c>
      <c r="AE120" s="164">
        <f t="shared" si="20"/>
        <v>0</v>
      </c>
      <c r="AF120" s="164">
        <f t="shared" si="20"/>
        <v>0</v>
      </c>
      <c r="AG120" s="164">
        <f t="shared" si="20"/>
        <v>0</v>
      </c>
      <c r="AH120" s="164">
        <f t="shared" si="20"/>
        <v>0</v>
      </c>
      <c r="AI120" s="164">
        <f t="shared" si="20"/>
        <v>0</v>
      </c>
      <c r="AJ120" s="164">
        <f t="shared" si="20"/>
        <v>0</v>
      </c>
      <c r="AK120" s="164">
        <f t="shared" si="20"/>
        <v>0</v>
      </c>
      <c r="AL120" s="164">
        <f t="shared" si="20"/>
        <v>0</v>
      </c>
      <c r="AM120" s="164">
        <f t="shared" si="20"/>
        <v>0</v>
      </c>
    </row>
    <row r="121" spans="1:39" outlineLevel="1">
      <c r="A121" s="100"/>
      <c r="B121" s="100"/>
      <c r="C121" s="100"/>
      <c r="D121" s="179" t="str">
        <f t="shared" si="12"/>
        <v>Land</v>
      </c>
      <c r="E121" s="165" t="str">
        <f>H498</f>
        <v>Airfield</v>
      </c>
      <c r="F121" s="165"/>
      <c r="G121" s="200" t="s">
        <v>76</v>
      </c>
      <c r="H121" s="201"/>
      <c r="I121" s="200"/>
      <c r="J121" s="200"/>
      <c r="K121" s="164">
        <f t="shared" ref="K121:S121" si="21">K117-K120</f>
        <v>0</v>
      </c>
      <c r="L121" s="164">
        <f t="shared" si="21"/>
        <v>0</v>
      </c>
      <c r="M121" s="227"/>
      <c r="N121" s="540">
        <f>'[7]2008-2012 Asset Mov''t Revised'!$R$75</f>
        <v>78896231.928000003</v>
      </c>
      <c r="O121" s="199">
        <f t="shared" si="21"/>
        <v>78896231.928000003</v>
      </c>
      <c r="P121" s="198">
        <f t="shared" si="21"/>
        <v>78896231.928000003</v>
      </c>
      <c r="Q121" s="198">
        <f t="shared" si="21"/>
        <v>78896231.928000003</v>
      </c>
      <c r="R121" s="198">
        <f t="shared" si="21"/>
        <v>78896231.928000003</v>
      </c>
      <c r="S121" s="198">
        <f t="shared" si="21"/>
        <v>78896231.928000003</v>
      </c>
      <c r="T121" s="198">
        <f t="shared" ref="T121:AM121" si="22">T117-T120</f>
        <v>78896231.928000003</v>
      </c>
      <c r="U121" s="198">
        <f t="shared" si="22"/>
        <v>78896231.928000003</v>
      </c>
      <c r="V121" s="198">
        <f t="shared" si="22"/>
        <v>78896231.928000003</v>
      </c>
      <c r="W121" s="198">
        <f t="shared" si="22"/>
        <v>78896231.928000003</v>
      </c>
      <c r="X121" s="198">
        <f t="shared" si="22"/>
        <v>78896231.928000003</v>
      </c>
      <c r="Y121" s="198">
        <f t="shared" si="22"/>
        <v>78896231.928000003</v>
      </c>
      <c r="Z121" s="198">
        <f t="shared" si="22"/>
        <v>78896231.928000003</v>
      </c>
      <c r="AA121" s="198">
        <f t="shared" si="22"/>
        <v>78896231.928000003</v>
      </c>
      <c r="AB121" s="198">
        <f t="shared" si="22"/>
        <v>78896231.928000003</v>
      </c>
      <c r="AC121" s="198">
        <f t="shared" si="22"/>
        <v>78896231.928000003</v>
      </c>
      <c r="AD121" s="198">
        <f t="shared" si="22"/>
        <v>78896231.928000003</v>
      </c>
      <c r="AE121" s="198">
        <f t="shared" si="22"/>
        <v>78896231.928000003</v>
      </c>
      <c r="AF121" s="198">
        <f t="shared" si="22"/>
        <v>78896231.928000003</v>
      </c>
      <c r="AG121" s="198">
        <f t="shared" si="22"/>
        <v>78896231.928000003</v>
      </c>
      <c r="AH121" s="198">
        <f t="shared" si="22"/>
        <v>78896231.928000003</v>
      </c>
      <c r="AI121" s="198">
        <f t="shared" si="22"/>
        <v>78896231.928000003</v>
      </c>
      <c r="AJ121" s="198">
        <f t="shared" si="22"/>
        <v>78896231.928000003</v>
      </c>
      <c r="AK121" s="198">
        <f t="shared" si="22"/>
        <v>78896231.928000003</v>
      </c>
      <c r="AL121" s="198">
        <f t="shared" si="22"/>
        <v>78896231.928000003</v>
      </c>
      <c r="AM121" s="198">
        <f t="shared" si="22"/>
        <v>78896231.928000003</v>
      </c>
    </row>
    <row r="122" spans="1:39" outlineLevel="1">
      <c r="A122" s="100"/>
      <c r="B122" s="100"/>
      <c r="C122" s="100"/>
      <c r="D122" s="179"/>
      <c r="E122" s="165"/>
      <c r="F122" s="165"/>
      <c r="G122" s="165"/>
      <c r="H122" s="121"/>
      <c r="I122" s="165"/>
      <c r="J122" s="165"/>
      <c r="K122" s="164"/>
      <c r="L122" s="164"/>
      <c r="M122" s="227"/>
      <c r="N122" s="197"/>
      <c r="O122" s="197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</row>
    <row r="123" spans="1:39" outlineLevel="1">
      <c r="A123" s="100"/>
      <c r="B123" s="100"/>
      <c r="C123" s="100"/>
      <c r="D123" s="179"/>
      <c r="E123" s="165"/>
      <c r="F123" s="165"/>
      <c r="G123" s="206" t="str">
        <f>G509</f>
        <v>Buildings</v>
      </c>
      <c r="H123" s="121"/>
      <c r="I123" s="165"/>
      <c r="J123" s="165"/>
      <c r="K123" s="164"/>
      <c r="L123" s="164"/>
      <c r="M123" s="227"/>
      <c r="N123" s="197"/>
      <c r="O123" s="197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</row>
    <row r="124" spans="1:39" outlineLevel="1">
      <c r="A124" s="100"/>
      <c r="B124" s="100"/>
      <c r="C124" s="100"/>
      <c r="D124" s="179"/>
      <c r="E124" s="165"/>
      <c r="F124" s="165"/>
      <c r="G124" s="205"/>
      <c r="H124" s="121"/>
      <c r="I124" s="165"/>
      <c r="J124" s="165"/>
      <c r="K124" s="164"/>
      <c r="L124" s="164"/>
      <c r="M124" s="227"/>
      <c r="N124" s="197"/>
      <c r="O124" s="197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</row>
    <row r="125" spans="1:39" outlineLevel="1">
      <c r="A125" s="100"/>
      <c r="B125" s="100"/>
      <c r="C125" s="100"/>
      <c r="D125" s="179" t="str">
        <f t="shared" ref="D125:D130" si="23">$G$509</f>
        <v>Buildings</v>
      </c>
      <c r="E125" s="165" t="str">
        <f>H498</f>
        <v>Airfield</v>
      </c>
      <c r="F125" s="165"/>
      <c r="G125" s="165" t="s">
        <v>80</v>
      </c>
      <c r="H125" s="121"/>
      <c r="I125" s="165"/>
      <c r="J125" s="165"/>
      <c r="K125" s="164"/>
      <c r="L125" s="164"/>
      <c r="M125" s="227"/>
      <c r="N125" s="535"/>
      <c r="O125" s="197">
        <f>$N$130</f>
        <v>1532216.5009612418</v>
      </c>
      <c r="P125" s="164">
        <f t="shared" ref="P125:X125" si="24">O130</f>
        <v>1378994.8508651175</v>
      </c>
      <c r="Q125" s="164">
        <f t="shared" si="24"/>
        <v>1225773.2007689935</v>
      </c>
      <c r="R125" s="164">
        <f t="shared" si="24"/>
        <v>1072551.5506728692</v>
      </c>
      <c r="S125" s="164">
        <f t="shared" si="24"/>
        <v>919329.90057674504</v>
      </c>
      <c r="T125" s="164">
        <f t="shared" si="24"/>
        <v>766108.25048062089</v>
      </c>
      <c r="U125" s="164">
        <f t="shared" si="24"/>
        <v>612886.60038449673</v>
      </c>
      <c r="V125" s="164">
        <f t="shared" si="24"/>
        <v>459664.95028837258</v>
      </c>
      <c r="W125" s="164">
        <f t="shared" si="24"/>
        <v>306443.30019224831</v>
      </c>
      <c r="X125" s="164">
        <f t="shared" si="24"/>
        <v>153221.65009612404</v>
      </c>
      <c r="Y125" s="164">
        <f t="shared" ref="Y125:AM125" si="25">X130</f>
        <v>0</v>
      </c>
      <c r="Z125" s="164">
        <f t="shared" si="25"/>
        <v>0</v>
      </c>
      <c r="AA125" s="164">
        <f t="shared" si="25"/>
        <v>0</v>
      </c>
      <c r="AB125" s="164">
        <f t="shared" si="25"/>
        <v>0</v>
      </c>
      <c r="AC125" s="164">
        <f t="shared" si="25"/>
        <v>0</v>
      </c>
      <c r="AD125" s="164">
        <f t="shared" si="25"/>
        <v>0</v>
      </c>
      <c r="AE125" s="164">
        <f t="shared" si="25"/>
        <v>0</v>
      </c>
      <c r="AF125" s="164">
        <f t="shared" si="25"/>
        <v>0</v>
      </c>
      <c r="AG125" s="164">
        <f t="shared" si="25"/>
        <v>0</v>
      </c>
      <c r="AH125" s="164">
        <f t="shared" si="25"/>
        <v>0</v>
      </c>
      <c r="AI125" s="164">
        <f t="shared" si="25"/>
        <v>0</v>
      </c>
      <c r="AJ125" s="164">
        <f t="shared" si="25"/>
        <v>0</v>
      </c>
      <c r="AK125" s="164">
        <f t="shared" si="25"/>
        <v>0</v>
      </c>
      <c r="AL125" s="164">
        <f t="shared" si="25"/>
        <v>0</v>
      </c>
      <c r="AM125" s="164">
        <f t="shared" si="25"/>
        <v>0</v>
      </c>
    </row>
    <row r="126" spans="1:39" outlineLevel="1">
      <c r="A126" s="100"/>
      <c r="B126" s="100"/>
      <c r="C126" s="100"/>
      <c r="D126" s="179" t="str">
        <f t="shared" si="23"/>
        <v>Buildings</v>
      </c>
      <c r="E126" s="165" t="str">
        <f>H498</f>
        <v>Airfield</v>
      </c>
      <c r="F126" s="165"/>
      <c r="G126" s="165" t="s">
        <v>60</v>
      </c>
      <c r="H126" s="121"/>
      <c r="I126" s="165"/>
      <c r="J126" s="165"/>
      <c r="K126" s="203"/>
      <c r="L126" s="203"/>
      <c r="M126" s="202"/>
      <c r="N126" s="535"/>
      <c r="O126" s="197">
        <f>$N$130</f>
        <v>1532216.5009612418</v>
      </c>
      <c r="P126" s="164">
        <f t="shared" ref="P126:X126" si="26">O126</f>
        <v>1532216.5009612418</v>
      </c>
      <c r="Q126" s="164">
        <f t="shared" si="26"/>
        <v>1532216.5009612418</v>
      </c>
      <c r="R126" s="164">
        <f t="shared" si="26"/>
        <v>1532216.5009612418</v>
      </c>
      <c r="S126" s="164">
        <f t="shared" si="26"/>
        <v>1532216.5009612418</v>
      </c>
      <c r="T126" s="164">
        <f t="shared" si="26"/>
        <v>1532216.5009612418</v>
      </c>
      <c r="U126" s="164">
        <f t="shared" si="26"/>
        <v>1532216.5009612418</v>
      </c>
      <c r="V126" s="164">
        <f t="shared" si="26"/>
        <v>1532216.5009612418</v>
      </c>
      <c r="W126" s="164">
        <f t="shared" si="26"/>
        <v>1532216.5009612418</v>
      </c>
      <c r="X126" s="164">
        <f t="shared" si="26"/>
        <v>1532216.5009612418</v>
      </c>
      <c r="Y126" s="164">
        <f t="shared" ref="Y126:AM126" si="27">X126</f>
        <v>1532216.5009612418</v>
      </c>
      <c r="Z126" s="164">
        <f t="shared" si="27"/>
        <v>1532216.5009612418</v>
      </c>
      <c r="AA126" s="164">
        <f t="shared" si="27"/>
        <v>1532216.5009612418</v>
      </c>
      <c r="AB126" s="164">
        <f t="shared" si="27"/>
        <v>1532216.5009612418</v>
      </c>
      <c r="AC126" s="164">
        <f t="shared" si="27"/>
        <v>1532216.5009612418</v>
      </c>
      <c r="AD126" s="164">
        <f t="shared" si="27"/>
        <v>1532216.5009612418</v>
      </c>
      <c r="AE126" s="164">
        <f t="shared" si="27"/>
        <v>1532216.5009612418</v>
      </c>
      <c r="AF126" s="164">
        <f t="shared" si="27"/>
        <v>1532216.5009612418</v>
      </c>
      <c r="AG126" s="164">
        <f t="shared" si="27"/>
        <v>1532216.5009612418</v>
      </c>
      <c r="AH126" s="164">
        <f t="shared" si="27"/>
        <v>1532216.5009612418</v>
      </c>
      <c r="AI126" s="164">
        <f t="shared" si="27"/>
        <v>1532216.5009612418</v>
      </c>
      <c r="AJ126" s="164">
        <f t="shared" si="27"/>
        <v>1532216.5009612418</v>
      </c>
      <c r="AK126" s="164">
        <f t="shared" si="27"/>
        <v>1532216.5009612418</v>
      </c>
      <c r="AL126" s="164">
        <f t="shared" si="27"/>
        <v>1532216.5009612418</v>
      </c>
      <c r="AM126" s="164">
        <f t="shared" si="27"/>
        <v>1532216.5009612418</v>
      </c>
    </row>
    <row r="127" spans="1:39" outlineLevel="1">
      <c r="A127" s="100"/>
      <c r="B127" s="100"/>
      <c r="C127" s="100"/>
      <c r="D127" s="179" t="str">
        <f t="shared" si="23"/>
        <v>Buildings</v>
      </c>
      <c r="E127" s="165" t="str">
        <f>H498</f>
        <v>Airfield</v>
      </c>
      <c r="F127" s="165"/>
      <c r="G127" s="165" t="s">
        <v>79</v>
      </c>
      <c r="H127" s="121"/>
      <c r="I127" s="165"/>
      <c r="J127" s="164"/>
      <c r="K127" s="203"/>
      <c r="L127" s="203"/>
      <c r="M127" s="202"/>
      <c r="N127" s="535"/>
      <c r="O127" s="197">
        <f t="shared" ref="O127:X127" si="28">N129</f>
        <v>0</v>
      </c>
      <c r="P127" s="164">
        <f t="shared" si="28"/>
        <v>153221.65009612418</v>
      </c>
      <c r="Q127" s="164">
        <f t="shared" si="28"/>
        <v>306443.30019224837</v>
      </c>
      <c r="R127" s="164">
        <f t="shared" si="28"/>
        <v>459664.95028837258</v>
      </c>
      <c r="S127" s="164">
        <f t="shared" si="28"/>
        <v>612886.60038449673</v>
      </c>
      <c r="T127" s="164">
        <f t="shared" si="28"/>
        <v>766108.25048062089</v>
      </c>
      <c r="U127" s="164">
        <f t="shared" si="28"/>
        <v>919329.90057674504</v>
      </c>
      <c r="V127" s="164">
        <f t="shared" si="28"/>
        <v>1072551.5506728692</v>
      </c>
      <c r="W127" s="164">
        <f t="shared" si="28"/>
        <v>1225773.2007689935</v>
      </c>
      <c r="X127" s="164">
        <f t="shared" si="28"/>
        <v>1378994.8508651177</v>
      </c>
      <c r="Y127" s="164">
        <f t="shared" ref="Y127:AM127" si="29">X129</f>
        <v>1532216.5009612418</v>
      </c>
      <c r="Z127" s="164">
        <f t="shared" si="29"/>
        <v>1532216.5009612418</v>
      </c>
      <c r="AA127" s="164">
        <f t="shared" si="29"/>
        <v>1532216.5009612418</v>
      </c>
      <c r="AB127" s="164">
        <f t="shared" si="29"/>
        <v>1532216.5009612418</v>
      </c>
      <c r="AC127" s="164">
        <f t="shared" si="29"/>
        <v>1532216.5009612418</v>
      </c>
      <c r="AD127" s="164">
        <f t="shared" si="29"/>
        <v>1532216.5009612418</v>
      </c>
      <c r="AE127" s="164">
        <f t="shared" si="29"/>
        <v>1532216.5009612418</v>
      </c>
      <c r="AF127" s="164">
        <f t="shared" si="29"/>
        <v>1532216.5009612418</v>
      </c>
      <c r="AG127" s="164">
        <f t="shared" si="29"/>
        <v>1532216.5009612418</v>
      </c>
      <c r="AH127" s="164">
        <f t="shared" si="29"/>
        <v>1532216.5009612418</v>
      </c>
      <c r="AI127" s="164">
        <f t="shared" si="29"/>
        <v>1532216.5009612418</v>
      </c>
      <c r="AJ127" s="164">
        <f t="shared" si="29"/>
        <v>1532216.5009612418</v>
      </c>
      <c r="AK127" s="164">
        <f t="shared" si="29"/>
        <v>1532216.5009612418</v>
      </c>
      <c r="AL127" s="164">
        <f t="shared" si="29"/>
        <v>1532216.5009612418</v>
      </c>
      <c r="AM127" s="164">
        <f t="shared" si="29"/>
        <v>1532216.5009612418</v>
      </c>
    </row>
    <row r="128" spans="1:39" outlineLevel="1">
      <c r="A128" s="100"/>
      <c r="B128" s="100"/>
      <c r="C128" s="100"/>
      <c r="D128" s="179" t="str">
        <f t="shared" si="23"/>
        <v>Buildings</v>
      </c>
      <c r="E128" s="165" t="str">
        <f>H498</f>
        <v>Airfield</v>
      </c>
      <c r="F128" s="165"/>
      <c r="G128" s="165" t="s">
        <v>78</v>
      </c>
      <c r="H128" s="121"/>
      <c r="I128" s="165"/>
      <c r="J128" s="165"/>
      <c r="K128" s="203"/>
      <c r="L128" s="203"/>
      <c r="M128" s="202"/>
      <c r="N128" s="535"/>
      <c r="O128" s="197">
        <f>IFERROR(MIN(O125,O126/'Asset base'!O$98),0)</f>
        <v>153221.65009612418</v>
      </c>
      <c r="P128" s="164">
        <f>IFERROR(MIN(P125,P126/'Asset base'!P$98),0)</f>
        <v>153221.65009612418</v>
      </c>
      <c r="Q128" s="164">
        <f>IFERROR(MIN(Q125,Q126/'Asset base'!Q$98),0)</f>
        <v>153221.65009612418</v>
      </c>
      <c r="R128" s="164">
        <f>IFERROR(MIN(R125,R126/'Asset base'!R$98),0)</f>
        <v>153221.65009612418</v>
      </c>
      <c r="S128" s="164">
        <f>IFERROR(MIN(S125,S126/'Asset base'!S$98),0)</f>
        <v>153221.65009612418</v>
      </c>
      <c r="T128" s="164">
        <f>IFERROR(MIN(T125,T126/'Asset base'!T$98),0)</f>
        <v>153221.65009612418</v>
      </c>
      <c r="U128" s="164">
        <f>IFERROR(MIN(U125,U126/'Asset base'!U$98),0)</f>
        <v>153221.65009612418</v>
      </c>
      <c r="V128" s="164">
        <f>IFERROR(MIN(V125,V126/'Asset base'!V$98),0)</f>
        <v>153221.65009612418</v>
      </c>
      <c r="W128" s="164">
        <f>IFERROR(MIN(W125,W126/'Asset base'!W$98),0)</f>
        <v>153221.65009612418</v>
      </c>
      <c r="X128" s="164">
        <f>IFERROR(MIN(X125,X126/'Asset base'!X$98),0)</f>
        <v>153221.65009612404</v>
      </c>
      <c r="Y128" s="164">
        <f>IFERROR(MIN(Y125,Y126/'Asset base'!Y$98),0)</f>
        <v>0</v>
      </c>
      <c r="Z128" s="164">
        <f>IFERROR(MIN(Z125,Z126/'Asset base'!Z$98),0)</f>
        <v>0</v>
      </c>
      <c r="AA128" s="164">
        <f>IFERROR(MIN(AA125,AA126/'Asset base'!AA$98),0)</f>
        <v>0</v>
      </c>
      <c r="AB128" s="164">
        <f>IFERROR(MIN(AB125,AB126/'Asset base'!AB$98),0)</f>
        <v>0</v>
      </c>
      <c r="AC128" s="164">
        <f>IFERROR(MIN(AC125,AC126/'Asset base'!AC$98),0)</f>
        <v>0</v>
      </c>
      <c r="AD128" s="164">
        <f>IFERROR(MIN(AD125,AD126/'Asset base'!AD$98),0)</f>
        <v>0</v>
      </c>
      <c r="AE128" s="164">
        <f>IFERROR(MIN(AE125,AE126/'Asset base'!AE$98),0)</f>
        <v>0</v>
      </c>
      <c r="AF128" s="164">
        <f>IFERROR(MIN(AF125,AF126/'Asset base'!AF$98),0)</f>
        <v>0</v>
      </c>
      <c r="AG128" s="164">
        <f>IFERROR(MIN(AG125,AG126/'Asset base'!AG$98),0)</f>
        <v>0</v>
      </c>
      <c r="AH128" s="164">
        <f>IFERROR(MIN(AH125,AH126/'Asset base'!AH$98),0)</f>
        <v>0</v>
      </c>
      <c r="AI128" s="164">
        <f>IFERROR(MIN(AI125,AI126/'Asset base'!AI$98),0)</f>
        <v>0</v>
      </c>
      <c r="AJ128" s="164">
        <f>IFERROR(MIN(AJ125,AJ126/'Asset base'!AJ$98),0)</f>
        <v>0</v>
      </c>
      <c r="AK128" s="164">
        <f>IFERROR(MIN(AK125,AK126/'Asset base'!AK$98),0)</f>
        <v>0</v>
      </c>
      <c r="AL128" s="164">
        <f>IFERROR(MIN(AL125,AL126/'Asset base'!AL$98),0)</f>
        <v>0</v>
      </c>
      <c r="AM128" s="164">
        <f>IFERROR(MIN(AM125,AM126/'Asset base'!AM$98),0)</f>
        <v>0</v>
      </c>
    </row>
    <row r="129" spans="1:39" outlineLevel="1">
      <c r="A129" s="100"/>
      <c r="B129" s="100"/>
      <c r="C129" s="100"/>
      <c r="D129" s="179" t="str">
        <f t="shared" si="23"/>
        <v>Buildings</v>
      </c>
      <c r="E129" s="165" t="str">
        <f>H498</f>
        <v>Airfield</v>
      </c>
      <c r="F129" s="165"/>
      <c r="G129" s="165" t="s">
        <v>82</v>
      </c>
      <c r="H129" s="121"/>
      <c r="I129" s="165"/>
      <c r="J129" s="165"/>
      <c r="K129" s="302"/>
      <c r="L129" s="302"/>
      <c r="M129" s="315"/>
      <c r="N129" s="535"/>
      <c r="O129" s="197">
        <f t="shared" ref="O129:X129" si="30">SUM(O127:O128)</f>
        <v>153221.65009612418</v>
      </c>
      <c r="P129" s="164">
        <f t="shared" si="30"/>
        <v>306443.30019224837</v>
      </c>
      <c r="Q129" s="164">
        <f t="shared" si="30"/>
        <v>459664.95028837258</v>
      </c>
      <c r="R129" s="164">
        <f t="shared" si="30"/>
        <v>612886.60038449673</v>
      </c>
      <c r="S129" s="164">
        <f t="shared" si="30"/>
        <v>766108.25048062089</v>
      </c>
      <c r="T129" s="164">
        <f t="shared" si="30"/>
        <v>919329.90057674504</v>
      </c>
      <c r="U129" s="164">
        <f t="shared" si="30"/>
        <v>1072551.5506728692</v>
      </c>
      <c r="V129" s="164">
        <f t="shared" si="30"/>
        <v>1225773.2007689935</v>
      </c>
      <c r="W129" s="164">
        <f t="shared" si="30"/>
        <v>1378994.8508651177</v>
      </c>
      <c r="X129" s="164">
        <f t="shared" si="30"/>
        <v>1532216.5009612418</v>
      </c>
      <c r="Y129" s="164">
        <f>SUM(Y127:Y128)</f>
        <v>1532216.5009612418</v>
      </c>
      <c r="Z129" s="164">
        <f t="shared" ref="Z129:AM129" si="31">SUM(Z127:Z128)</f>
        <v>1532216.5009612418</v>
      </c>
      <c r="AA129" s="164">
        <f t="shared" si="31"/>
        <v>1532216.5009612418</v>
      </c>
      <c r="AB129" s="164">
        <f t="shared" si="31"/>
        <v>1532216.5009612418</v>
      </c>
      <c r="AC129" s="164">
        <f t="shared" si="31"/>
        <v>1532216.5009612418</v>
      </c>
      <c r="AD129" s="164">
        <f t="shared" si="31"/>
        <v>1532216.5009612418</v>
      </c>
      <c r="AE129" s="164">
        <f t="shared" si="31"/>
        <v>1532216.5009612418</v>
      </c>
      <c r="AF129" s="164">
        <f t="shared" si="31"/>
        <v>1532216.5009612418</v>
      </c>
      <c r="AG129" s="164">
        <f t="shared" si="31"/>
        <v>1532216.5009612418</v>
      </c>
      <c r="AH129" s="164">
        <f t="shared" si="31"/>
        <v>1532216.5009612418</v>
      </c>
      <c r="AI129" s="164">
        <f t="shared" si="31"/>
        <v>1532216.5009612418</v>
      </c>
      <c r="AJ129" s="164">
        <f t="shared" si="31"/>
        <v>1532216.5009612418</v>
      </c>
      <c r="AK129" s="164">
        <f t="shared" si="31"/>
        <v>1532216.5009612418</v>
      </c>
      <c r="AL129" s="164">
        <f t="shared" si="31"/>
        <v>1532216.5009612418</v>
      </c>
      <c r="AM129" s="164">
        <f t="shared" si="31"/>
        <v>1532216.5009612418</v>
      </c>
    </row>
    <row r="130" spans="1:39" outlineLevel="1">
      <c r="A130" s="100"/>
      <c r="B130" s="100"/>
      <c r="C130" s="100"/>
      <c r="D130" s="179" t="str">
        <f t="shared" si="23"/>
        <v>Buildings</v>
      </c>
      <c r="E130" s="165" t="str">
        <f>H498</f>
        <v>Airfield</v>
      </c>
      <c r="F130" s="165"/>
      <c r="G130" s="200" t="s">
        <v>76</v>
      </c>
      <c r="H130" s="201"/>
      <c r="I130" s="200"/>
      <c r="J130" s="200"/>
      <c r="K130" s="164"/>
      <c r="L130" s="164"/>
      <c r="M130" s="227">
        <f>N125</f>
        <v>0</v>
      </c>
      <c r="N130" s="540">
        <f>'[7]2008-2012 Asset Mov''t Revised'!$R$76</f>
        <v>1532216.5009612418</v>
      </c>
      <c r="O130" s="199">
        <f t="shared" ref="O130:AM130" si="32">O126-O129</f>
        <v>1378994.8508651175</v>
      </c>
      <c r="P130" s="198">
        <f t="shared" si="32"/>
        <v>1225773.2007689935</v>
      </c>
      <c r="Q130" s="198">
        <f t="shared" si="32"/>
        <v>1072551.5506728692</v>
      </c>
      <c r="R130" s="198">
        <f t="shared" si="32"/>
        <v>919329.90057674504</v>
      </c>
      <c r="S130" s="198">
        <f t="shared" si="32"/>
        <v>766108.25048062089</v>
      </c>
      <c r="T130" s="198">
        <f t="shared" si="32"/>
        <v>612886.60038449673</v>
      </c>
      <c r="U130" s="198">
        <f t="shared" si="32"/>
        <v>459664.95028837258</v>
      </c>
      <c r="V130" s="198">
        <f t="shared" si="32"/>
        <v>306443.30019224831</v>
      </c>
      <c r="W130" s="198">
        <f t="shared" si="32"/>
        <v>153221.65009612404</v>
      </c>
      <c r="X130" s="198">
        <f t="shared" si="32"/>
        <v>0</v>
      </c>
      <c r="Y130" s="198">
        <f t="shared" si="32"/>
        <v>0</v>
      </c>
      <c r="Z130" s="198">
        <f t="shared" si="32"/>
        <v>0</v>
      </c>
      <c r="AA130" s="198">
        <f t="shared" si="32"/>
        <v>0</v>
      </c>
      <c r="AB130" s="198">
        <f t="shared" si="32"/>
        <v>0</v>
      </c>
      <c r="AC130" s="198">
        <f t="shared" si="32"/>
        <v>0</v>
      </c>
      <c r="AD130" s="198">
        <f t="shared" si="32"/>
        <v>0</v>
      </c>
      <c r="AE130" s="198">
        <f t="shared" si="32"/>
        <v>0</v>
      </c>
      <c r="AF130" s="198">
        <f t="shared" si="32"/>
        <v>0</v>
      </c>
      <c r="AG130" s="198">
        <f t="shared" si="32"/>
        <v>0</v>
      </c>
      <c r="AH130" s="198">
        <f t="shared" si="32"/>
        <v>0</v>
      </c>
      <c r="AI130" s="198">
        <f t="shared" si="32"/>
        <v>0</v>
      </c>
      <c r="AJ130" s="198">
        <f t="shared" si="32"/>
        <v>0</v>
      </c>
      <c r="AK130" s="198">
        <f t="shared" si="32"/>
        <v>0</v>
      </c>
      <c r="AL130" s="198">
        <f t="shared" si="32"/>
        <v>0</v>
      </c>
      <c r="AM130" s="198">
        <f t="shared" si="32"/>
        <v>0</v>
      </c>
    </row>
    <row r="131" spans="1:39" outlineLevel="1">
      <c r="A131" s="100"/>
      <c r="B131" s="100"/>
      <c r="C131" s="100"/>
      <c r="D131" s="179"/>
      <c r="E131" s="165"/>
      <c r="F131" s="165"/>
      <c r="G131" s="205"/>
      <c r="H131" s="121"/>
      <c r="I131" s="165"/>
      <c r="J131" s="165"/>
      <c r="K131" s="164"/>
      <c r="L131" s="164"/>
      <c r="M131" s="228"/>
      <c r="N131" s="204"/>
      <c r="O131" s="204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</row>
    <row r="132" spans="1:39" outlineLevel="1">
      <c r="A132" s="100"/>
      <c r="B132" s="100"/>
      <c r="C132" s="100"/>
      <c r="D132" s="179"/>
      <c r="E132" s="165"/>
      <c r="F132" s="165"/>
      <c r="G132" s="206" t="str">
        <f>G518</f>
        <v>Computers &amp; Furniture</v>
      </c>
      <c r="H132" s="121"/>
      <c r="I132" s="165"/>
      <c r="J132" s="165"/>
      <c r="K132" s="164"/>
      <c r="L132" s="164"/>
      <c r="M132" s="227"/>
      <c r="N132" s="197"/>
      <c r="O132" s="197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</row>
    <row r="133" spans="1:39" outlineLevel="1">
      <c r="A133" s="100"/>
      <c r="B133" s="100"/>
      <c r="C133" s="100"/>
      <c r="D133" s="179"/>
      <c r="E133" s="165"/>
      <c r="F133" s="165"/>
      <c r="G133" s="205"/>
      <c r="H133" s="121"/>
      <c r="I133" s="165"/>
      <c r="J133" s="165"/>
      <c r="K133" s="164"/>
      <c r="L133" s="164"/>
      <c r="M133" s="227"/>
      <c r="N133" s="197"/>
      <c r="O133" s="197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</row>
    <row r="134" spans="1:39" outlineLevel="1">
      <c r="A134" s="100"/>
      <c r="B134" s="100"/>
      <c r="C134" s="100"/>
      <c r="D134" s="179" t="str">
        <f t="shared" ref="D134:D139" si="33">$G$518</f>
        <v>Computers &amp; Furniture</v>
      </c>
      <c r="E134" s="165" t="str">
        <f>H498</f>
        <v>Airfield</v>
      </c>
      <c r="F134" s="165"/>
      <c r="G134" s="165" t="s">
        <v>80</v>
      </c>
      <c r="H134" s="121"/>
      <c r="I134" s="165"/>
      <c r="J134" s="165"/>
      <c r="K134" s="164"/>
      <c r="L134" s="164"/>
      <c r="M134" s="227"/>
      <c r="N134" s="535"/>
      <c r="O134" s="197">
        <f>$N$139</f>
        <v>789283.64138773188</v>
      </c>
      <c r="P134" s="164">
        <f t="shared" ref="P134:X134" si="34">O139</f>
        <v>631426.91311018553</v>
      </c>
      <c r="Q134" s="164">
        <f t="shared" si="34"/>
        <v>473570.18483263912</v>
      </c>
      <c r="R134" s="164">
        <f t="shared" si="34"/>
        <v>315713.45655509271</v>
      </c>
      <c r="S134" s="164">
        <f t="shared" si="34"/>
        <v>157856.72827754635</v>
      </c>
      <c r="T134" s="164">
        <f t="shared" si="34"/>
        <v>0</v>
      </c>
      <c r="U134" s="164">
        <f t="shared" si="34"/>
        <v>0</v>
      </c>
      <c r="V134" s="164">
        <f t="shared" si="34"/>
        <v>0</v>
      </c>
      <c r="W134" s="164">
        <f t="shared" si="34"/>
        <v>0</v>
      </c>
      <c r="X134" s="164">
        <f t="shared" si="34"/>
        <v>0</v>
      </c>
      <c r="Y134" s="164">
        <f t="shared" ref="Y134:AM134" si="35">X139</f>
        <v>0</v>
      </c>
      <c r="Z134" s="164">
        <f t="shared" si="35"/>
        <v>0</v>
      </c>
      <c r="AA134" s="164">
        <f t="shared" si="35"/>
        <v>0</v>
      </c>
      <c r="AB134" s="164">
        <f t="shared" si="35"/>
        <v>0</v>
      </c>
      <c r="AC134" s="164">
        <f t="shared" si="35"/>
        <v>0</v>
      </c>
      <c r="AD134" s="164">
        <f t="shared" si="35"/>
        <v>0</v>
      </c>
      <c r="AE134" s="164">
        <f t="shared" si="35"/>
        <v>0</v>
      </c>
      <c r="AF134" s="164">
        <f t="shared" si="35"/>
        <v>0</v>
      </c>
      <c r="AG134" s="164">
        <f t="shared" si="35"/>
        <v>0</v>
      </c>
      <c r="AH134" s="164">
        <f t="shared" si="35"/>
        <v>0</v>
      </c>
      <c r="AI134" s="164">
        <f t="shared" si="35"/>
        <v>0</v>
      </c>
      <c r="AJ134" s="164">
        <f t="shared" si="35"/>
        <v>0</v>
      </c>
      <c r="AK134" s="164">
        <f t="shared" si="35"/>
        <v>0</v>
      </c>
      <c r="AL134" s="164">
        <f t="shared" si="35"/>
        <v>0</v>
      </c>
      <c r="AM134" s="164">
        <f t="shared" si="35"/>
        <v>0</v>
      </c>
    </row>
    <row r="135" spans="1:39" outlineLevel="1">
      <c r="A135" s="100"/>
      <c r="B135" s="100"/>
      <c r="C135" s="100"/>
      <c r="D135" s="179" t="str">
        <f t="shared" si="33"/>
        <v>Computers &amp; Furniture</v>
      </c>
      <c r="E135" s="165" t="str">
        <f>H498</f>
        <v>Airfield</v>
      </c>
      <c r="F135" s="165"/>
      <c r="G135" s="165" t="s">
        <v>60</v>
      </c>
      <c r="H135" s="121"/>
      <c r="I135" s="165"/>
      <c r="J135" s="165"/>
      <c r="K135" s="203"/>
      <c r="L135" s="203"/>
      <c r="M135" s="202"/>
      <c r="N135" s="535"/>
      <c r="O135" s="197">
        <f>$N$139</f>
        <v>789283.64138773188</v>
      </c>
      <c r="P135" s="164">
        <f t="shared" ref="P135:X135" si="36">O135</f>
        <v>789283.64138773188</v>
      </c>
      <c r="Q135" s="164">
        <f t="shared" si="36"/>
        <v>789283.64138773188</v>
      </c>
      <c r="R135" s="164">
        <f t="shared" si="36"/>
        <v>789283.64138773188</v>
      </c>
      <c r="S135" s="164">
        <f t="shared" si="36"/>
        <v>789283.64138773188</v>
      </c>
      <c r="T135" s="164">
        <f t="shared" si="36"/>
        <v>789283.64138773188</v>
      </c>
      <c r="U135" s="164">
        <f t="shared" si="36"/>
        <v>789283.64138773188</v>
      </c>
      <c r="V135" s="164">
        <f t="shared" si="36"/>
        <v>789283.64138773188</v>
      </c>
      <c r="W135" s="164">
        <f t="shared" si="36"/>
        <v>789283.64138773188</v>
      </c>
      <c r="X135" s="164">
        <f t="shared" si="36"/>
        <v>789283.64138773188</v>
      </c>
      <c r="Y135" s="164">
        <f t="shared" ref="Y135:AM135" si="37">X135</f>
        <v>789283.64138773188</v>
      </c>
      <c r="Z135" s="164">
        <f t="shared" si="37"/>
        <v>789283.64138773188</v>
      </c>
      <c r="AA135" s="164">
        <f t="shared" si="37"/>
        <v>789283.64138773188</v>
      </c>
      <c r="AB135" s="164">
        <f t="shared" si="37"/>
        <v>789283.64138773188</v>
      </c>
      <c r="AC135" s="164">
        <f t="shared" si="37"/>
        <v>789283.64138773188</v>
      </c>
      <c r="AD135" s="164">
        <f t="shared" si="37"/>
        <v>789283.64138773188</v>
      </c>
      <c r="AE135" s="164">
        <f t="shared" si="37"/>
        <v>789283.64138773188</v>
      </c>
      <c r="AF135" s="164">
        <f t="shared" si="37"/>
        <v>789283.64138773188</v>
      </c>
      <c r="AG135" s="164">
        <f t="shared" si="37"/>
        <v>789283.64138773188</v>
      </c>
      <c r="AH135" s="164">
        <f t="shared" si="37"/>
        <v>789283.64138773188</v>
      </c>
      <c r="AI135" s="164">
        <f t="shared" si="37"/>
        <v>789283.64138773188</v>
      </c>
      <c r="AJ135" s="164">
        <f t="shared" si="37"/>
        <v>789283.64138773188</v>
      </c>
      <c r="AK135" s="164">
        <f t="shared" si="37"/>
        <v>789283.64138773188</v>
      </c>
      <c r="AL135" s="164">
        <f t="shared" si="37"/>
        <v>789283.64138773188</v>
      </c>
      <c r="AM135" s="164">
        <f t="shared" si="37"/>
        <v>789283.64138773188</v>
      </c>
    </row>
    <row r="136" spans="1:39" outlineLevel="1">
      <c r="A136" s="100"/>
      <c r="B136" s="100"/>
      <c r="C136" s="100"/>
      <c r="D136" s="179" t="str">
        <f t="shared" si="33"/>
        <v>Computers &amp; Furniture</v>
      </c>
      <c r="E136" s="165" t="str">
        <f>H498</f>
        <v>Airfield</v>
      </c>
      <c r="F136" s="165"/>
      <c r="G136" s="165" t="s">
        <v>79</v>
      </c>
      <c r="H136" s="121"/>
      <c r="I136" s="165"/>
      <c r="J136" s="165"/>
      <c r="K136" s="203"/>
      <c r="L136" s="203"/>
      <c r="M136" s="202"/>
      <c r="N136" s="535"/>
      <c r="O136" s="197">
        <f t="shared" ref="O136:X136" si="38">N138</f>
        <v>0</v>
      </c>
      <c r="P136" s="164">
        <f t="shared" si="38"/>
        <v>157856.72827754638</v>
      </c>
      <c r="Q136" s="164">
        <f t="shared" si="38"/>
        <v>315713.45655509277</v>
      </c>
      <c r="R136" s="164">
        <f t="shared" si="38"/>
        <v>473570.18483263918</v>
      </c>
      <c r="S136" s="164">
        <f t="shared" si="38"/>
        <v>631426.91311018553</v>
      </c>
      <c r="T136" s="164">
        <f t="shared" si="38"/>
        <v>789283.64138773188</v>
      </c>
      <c r="U136" s="164">
        <f t="shared" si="38"/>
        <v>789283.64138773188</v>
      </c>
      <c r="V136" s="164">
        <f t="shared" si="38"/>
        <v>789283.64138773188</v>
      </c>
      <c r="W136" s="164">
        <f t="shared" si="38"/>
        <v>789283.64138773188</v>
      </c>
      <c r="X136" s="164">
        <f t="shared" si="38"/>
        <v>789283.64138773188</v>
      </c>
      <c r="Y136" s="164">
        <f t="shared" ref="Y136:AM136" si="39">X138</f>
        <v>789283.64138773188</v>
      </c>
      <c r="Z136" s="164">
        <f t="shared" si="39"/>
        <v>789283.64138773188</v>
      </c>
      <c r="AA136" s="164">
        <f t="shared" si="39"/>
        <v>789283.64138773188</v>
      </c>
      <c r="AB136" s="164">
        <f t="shared" si="39"/>
        <v>789283.64138773188</v>
      </c>
      <c r="AC136" s="164">
        <f t="shared" si="39"/>
        <v>789283.64138773188</v>
      </c>
      <c r="AD136" s="164">
        <f t="shared" si="39"/>
        <v>789283.64138773188</v>
      </c>
      <c r="AE136" s="164">
        <f t="shared" si="39"/>
        <v>789283.64138773188</v>
      </c>
      <c r="AF136" s="164">
        <f t="shared" si="39"/>
        <v>789283.64138773188</v>
      </c>
      <c r="AG136" s="164">
        <f t="shared" si="39"/>
        <v>789283.64138773188</v>
      </c>
      <c r="AH136" s="164">
        <f t="shared" si="39"/>
        <v>789283.64138773188</v>
      </c>
      <c r="AI136" s="164">
        <f t="shared" si="39"/>
        <v>789283.64138773188</v>
      </c>
      <c r="AJ136" s="164">
        <f t="shared" si="39"/>
        <v>789283.64138773188</v>
      </c>
      <c r="AK136" s="164">
        <f t="shared" si="39"/>
        <v>789283.64138773188</v>
      </c>
      <c r="AL136" s="164">
        <f t="shared" si="39"/>
        <v>789283.64138773188</v>
      </c>
      <c r="AM136" s="164">
        <f t="shared" si="39"/>
        <v>789283.64138773188</v>
      </c>
    </row>
    <row r="137" spans="1:39" outlineLevel="1">
      <c r="A137" s="100"/>
      <c r="B137" s="100"/>
      <c r="C137" s="100"/>
      <c r="D137" s="179" t="str">
        <f t="shared" si="33"/>
        <v>Computers &amp; Furniture</v>
      </c>
      <c r="E137" s="165" t="str">
        <f>H498</f>
        <v>Airfield</v>
      </c>
      <c r="F137" s="165"/>
      <c r="G137" s="165" t="s">
        <v>78</v>
      </c>
      <c r="H137" s="121"/>
      <c r="I137" s="165"/>
      <c r="J137" s="165"/>
      <c r="K137" s="203"/>
      <c r="L137" s="203"/>
      <c r="M137" s="202"/>
      <c r="N137" s="535"/>
      <c r="O137" s="197">
        <f>IFERROR(MIN(O134,O135/'Asset base'!O$99),0)</f>
        <v>157856.72827754638</v>
      </c>
      <c r="P137" s="164">
        <f>IFERROR(MIN(P134,P135/'Asset base'!P$99),0)</f>
        <v>157856.72827754638</v>
      </c>
      <c r="Q137" s="164">
        <f>IFERROR(MIN(Q134,Q135/'Asset base'!Q$99),0)</f>
        <v>157856.72827754638</v>
      </c>
      <c r="R137" s="164">
        <f>IFERROR(MIN(R134,R135/'Asset base'!R$99),0)</f>
        <v>157856.72827754638</v>
      </c>
      <c r="S137" s="164">
        <f>IFERROR(MIN(S134,S135/'Asset base'!S$99),0)</f>
        <v>157856.72827754635</v>
      </c>
      <c r="T137" s="164">
        <f>IFERROR(MIN(T134,T135/'Asset base'!T$99),0)</f>
        <v>0</v>
      </c>
      <c r="U137" s="164">
        <f>IFERROR(MIN(U134,U135/'Asset base'!U$99),0)</f>
        <v>0</v>
      </c>
      <c r="V137" s="164">
        <f>IFERROR(MIN(V134,V135/'Asset base'!V$99),0)</f>
        <v>0</v>
      </c>
      <c r="W137" s="164">
        <f>IFERROR(MIN(W134,W135/'Asset base'!W$99),0)</f>
        <v>0</v>
      </c>
      <c r="X137" s="164">
        <f>IFERROR(MIN(X134,X135/'Asset base'!X$99),0)</f>
        <v>0</v>
      </c>
      <c r="Y137" s="164">
        <f>IFERROR(MIN(Y134,Y135/'Asset base'!Y$99),0)</f>
        <v>0</v>
      </c>
      <c r="Z137" s="164">
        <f>IFERROR(MIN(Z134,Z135/'Asset base'!Z$99),0)</f>
        <v>0</v>
      </c>
      <c r="AA137" s="164">
        <f>IFERROR(MIN(AA134,AA135/'Asset base'!AA$99),0)</f>
        <v>0</v>
      </c>
      <c r="AB137" s="164">
        <f>IFERROR(MIN(AB134,AB135/'Asset base'!AB$99),0)</f>
        <v>0</v>
      </c>
      <c r="AC137" s="164">
        <f>IFERROR(MIN(AC134,AC135/'Asset base'!AC$99),0)</f>
        <v>0</v>
      </c>
      <c r="AD137" s="164">
        <f>IFERROR(MIN(AD134,AD135/'Asset base'!AD$99),0)</f>
        <v>0</v>
      </c>
      <c r="AE137" s="164">
        <f>IFERROR(MIN(AE134,AE135/'Asset base'!AE$99),0)</f>
        <v>0</v>
      </c>
      <c r="AF137" s="164">
        <f>IFERROR(MIN(AF134,AF135/'Asset base'!AF$99),0)</f>
        <v>0</v>
      </c>
      <c r="AG137" s="164">
        <f>IFERROR(MIN(AG134,AG135/'Asset base'!AG$99),0)</f>
        <v>0</v>
      </c>
      <c r="AH137" s="164">
        <f>IFERROR(MIN(AH134,AH135/'Asset base'!AH$99),0)</f>
        <v>0</v>
      </c>
      <c r="AI137" s="164">
        <f>IFERROR(MIN(AI134,AI135/'Asset base'!AI$99),0)</f>
        <v>0</v>
      </c>
      <c r="AJ137" s="164">
        <f>IFERROR(MIN(AJ134,AJ135/'Asset base'!AJ$99),0)</f>
        <v>0</v>
      </c>
      <c r="AK137" s="164">
        <f>IFERROR(MIN(AK134,AK135/'Asset base'!AK$99),0)</f>
        <v>0</v>
      </c>
      <c r="AL137" s="164">
        <f>IFERROR(MIN(AL134,AL135/'Asset base'!AL$99),0)</f>
        <v>0</v>
      </c>
      <c r="AM137" s="164">
        <f>IFERROR(MIN(AM134,AM135/'Asset base'!AM$99),0)</f>
        <v>0</v>
      </c>
    </row>
    <row r="138" spans="1:39" outlineLevel="1">
      <c r="A138" s="100"/>
      <c r="B138" s="100"/>
      <c r="C138" s="100"/>
      <c r="D138" s="179" t="str">
        <f t="shared" si="33"/>
        <v>Computers &amp; Furniture</v>
      </c>
      <c r="E138" s="165" t="str">
        <f>H498</f>
        <v>Airfield</v>
      </c>
      <c r="F138" s="165"/>
      <c r="G138" s="165" t="s">
        <v>77</v>
      </c>
      <c r="H138" s="121"/>
      <c r="I138" s="165"/>
      <c r="J138" s="165"/>
      <c r="K138" s="302"/>
      <c r="L138" s="302"/>
      <c r="M138" s="315"/>
      <c r="N138" s="535"/>
      <c r="O138" s="197">
        <f t="shared" ref="O138:X138" si="40">SUM(O136:O137)</f>
        <v>157856.72827754638</v>
      </c>
      <c r="P138" s="164">
        <f t="shared" si="40"/>
        <v>315713.45655509277</v>
      </c>
      <c r="Q138" s="164">
        <f t="shared" si="40"/>
        <v>473570.18483263918</v>
      </c>
      <c r="R138" s="164">
        <f t="shared" si="40"/>
        <v>631426.91311018553</v>
      </c>
      <c r="S138" s="164">
        <f t="shared" si="40"/>
        <v>789283.64138773188</v>
      </c>
      <c r="T138" s="164">
        <f t="shared" si="40"/>
        <v>789283.64138773188</v>
      </c>
      <c r="U138" s="164">
        <f t="shared" si="40"/>
        <v>789283.64138773188</v>
      </c>
      <c r="V138" s="164">
        <f t="shared" si="40"/>
        <v>789283.64138773188</v>
      </c>
      <c r="W138" s="164">
        <f t="shared" si="40"/>
        <v>789283.64138773188</v>
      </c>
      <c r="X138" s="164">
        <f t="shared" si="40"/>
        <v>789283.64138773188</v>
      </c>
      <c r="Y138" s="164">
        <f>SUM(Y136:Y137)</f>
        <v>789283.64138773188</v>
      </c>
      <c r="Z138" s="164">
        <f t="shared" ref="Z138:AM138" si="41">SUM(Z136:Z137)</f>
        <v>789283.64138773188</v>
      </c>
      <c r="AA138" s="164">
        <f t="shared" si="41"/>
        <v>789283.64138773188</v>
      </c>
      <c r="AB138" s="164">
        <f t="shared" si="41"/>
        <v>789283.64138773188</v>
      </c>
      <c r="AC138" s="164">
        <f t="shared" si="41"/>
        <v>789283.64138773188</v>
      </c>
      <c r="AD138" s="164">
        <f t="shared" si="41"/>
        <v>789283.64138773188</v>
      </c>
      <c r="AE138" s="164">
        <f t="shared" si="41"/>
        <v>789283.64138773188</v>
      </c>
      <c r="AF138" s="164">
        <f t="shared" si="41"/>
        <v>789283.64138773188</v>
      </c>
      <c r="AG138" s="164">
        <f t="shared" si="41"/>
        <v>789283.64138773188</v>
      </c>
      <c r="AH138" s="164">
        <f t="shared" si="41"/>
        <v>789283.64138773188</v>
      </c>
      <c r="AI138" s="164">
        <f t="shared" si="41"/>
        <v>789283.64138773188</v>
      </c>
      <c r="AJ138" s="164">
        <f t="shared" si="41"/>
        <v>789283.64138773188</v>
      </c>
      <c r="AK138" s="164">
        <f t="shared" si="41"/>
        <v>789283.64138773188</v>
      </c>
      <c r="AL138" s="164">
        <f t="shared" si="41"/>
        <v>789283.64138773188</v>
      </c>
      <c r="AM138" s="164">
        <f t="shared" si="41"/>
        <v>789283.64138773188</v>
      </c>
    </row>
    <row r="139" spans="1:39" outlineLevel="1">
      <c r="A139" s="100"/>
      <c r="B139" s="100"/>
      <c r="C139" s="100"/>
      <c r="D139" s="179" t="str">
        <f t="shared" si="33"/>
        <v>Computers &amp; Furniture</v>
      </c>
      <c r="E139" s="165" t="str">
        <f>H498</f>
        <v>Airfield</v>
      </c>
      <c r="F139" s="165"/>
      <c r="G139" s="200" t="s">
        <v>76</v>
      </c>
      <c r="H139" s="201"/>
      <c r="I139" s="200"/>
      <c r="J139" s="200"/>
      <c r="K139" s="164">
        <f t="shared" ref="K139:S139" si="42">K135-K138</f>
        <v>0</v>
      </c>
      <c r="L139" s="164">
        <f t="shared" si="42"/>
        <v>0</v>
      </c>
      <c r="M139" s="227">
        <f>N134</f>
        <v>0</v>
      </c>
      <c r="N139" s="541">
        <f>'[7]2008-2012 Asset Mov''t Revised'!$R$77</f>
        <v>789283.64138773188</v>
      </c>
      <c r="O139" s="199">
        <f t="shared" si="42"/>
        <v>631426.91311018553</v>
      </c>
      <c r="P139" s="198">
        <f t="shared" si="42"/>
        <v>473570.18483263912</v>
      </c>
      <c r="Q139" s="198">
        <f t="shared" si="42"/>
        <v>315713.45655509271</v>
      </c>
      <c r="R139" s="198">
        <f t="shared" si="42"/>
        <v>157856.72827754635</v>
      </c>
      <c r="S139" s="198">
        <f t="shared" si="42"/>
        <v>0</v>
      </c>
      <c r="T139" s="198">
        <f t="shared" ref="T139:AM139" si="43">T135-T138</f>
        <v>0</v>
      </c>
      <c r="U139" s="198">
        <f t="shared" si="43"/>
        <v>0</v>
      </c>
      <c r="V139" s="198">
        <f t="shared" si="43"/>
        <v>0</v>
      </c>
      <c r="W139" s="198">
        <f t="shared" si="43"/>
        <v>0</v>
      </c>
      <c r="X139" s="198">
        <f t="shared" si="43"/>
        <v>0</v>
      </c>
      <c r="Y139" s="198">
        <f t="shared" si="43"/>
        <v>0</v>
      </c>
      <c r="Z139" s="198">
        <f t="shared" si="43"/>
        <v>0</v>
      </c>
      <c r="AA139" s="198">
        <f t="shared" si="43"/>
        <v>0</v>
      </c>
      <c r="AB139" s="198">
        <f t="shared" si="43"/>
        <v>0</v>
      </c>
      <c r="AC139" s="198">
        <f t="shared" si="43"/>
        <v>0</v>
      </c>
      <c r="AD139" s="198">
        <f t="shared" si="43"/>
        <v>0</v>
      </c>
      <c r="AE139" s="198">
        <f t="shared" si="43"/>
        <v>0</v>
      </c>
      <c r="AF139" s="198">
        <f t="shared" si="43"/>
        <v>0</v>
      </c>
      <c r="AG139" s="198">
        <f t="shared" si="43"/>
        <v>0</v>
      </c>
      <c r="AH139" s="198">
        <f t="shared" si="43"/>
        <v>0</v>
      </c>
      <c r="AI139" s="198">
        <f t="shared" si="43"/>
        <v>0</v>
      </c>
      <c r="AJ139" s="198">
        <f t="shared" si="43"/>
        <v>0</v>
      </c>
      <c r="AK139" s="198">
        <f t="shared" si="43"/>
        <v>0</v>
      </c>
      <c r="AL139" s="198">
        <f t="shared" si="43"/>
        <v>0</v>
      </c>
      <c r="AM139" s="198">
        <f t="shared" si="43"/>
        <v>0</v>
      </c>
    </row>
    <row r="140" spans="1:39" outlineLevel="1">
      <c r="A140" s="100"/>
      <c r="B140" s="100"/>
      <c r="C140" s="100"/>
      <c r="D140" s="179"/>
      <c r="E140" s="165"/>
      <c r="F140" s="165"/>
      <c r="G140" s="205"/>
      <c r="H140" s="121"/>
      <c r="I140" s="165"/>
      <c r="J140" s="165"/>
      <c r="K140" s="164"/>
      <c r="L140" s="164"/>
      <c r="M140" s="227"/>
      <c r="N140" s="197"/>
      <c r="O140" s="197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</row>
    <row r="141" spans="1:39" outlineLevel="1">
      <c r="A141" s="100"/>
      <c r="B141" s="100"/>
      <c r="C141" s="100"/>
      <c r="D141" s="179"/>
      <c r="E141" s="165"/>
      <c r="F141" s="165"/>
      <c r="G141" s="206" t="str">
        <f>G527</f>
        <v>Motor vehicles</v>
      </c>
      <c r="H141" s="121"/>
      <c r="I141" s="165"/>
      <c r="J141" s="165"/>
      <c r="K141" s="164"/>
      <c r="L141" s="164"/>
      <c r="M141" s="227"/>
      <c r="N141" s="197"/>
      <c r="O141" s="197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  <c r="AH141" s="165"/>
      <c r="AI141" s="165"/>
      <c r="AJ141" s="165"/>
      <c r="AK141" s="165"/>
      <c r="AL141" s="165"/>
      <c r="AM141" s="165"/>
    </row>
    <row r="142" spans="1:39" outlineLevel="1">
      <c r="A142" s="100"/>
      <c r="B142" s="100"/>
      <c r="C142" s="100"/>
      <c r="D142" s="179"/>
      <c r="E142" s="165"/>
      <c r="F142" s="165"/>
      <c r="G142" s="205"/>
      <c r="H142" s="121"/>
      <c r="I142" s="165"/>
      <c r="J142" s="165"/>
      <c r="K142" s="164"/>
      <c r="L142" s="164"/>
      <c r="M142" s="227"/>
      <c r="N142" s="197"/>
      <c r="O142" s="197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165"/>
    </row>
    <row r="143" spans="1:39" outlineLevel="1">
      <c r="A143" s="100"/>
      <c r="B143" s="100"/>
      <c r="C143" s="100"/>
      <c r="D143" s="179" t="str">
        <f t="shared" ref="D143:D148" si="44">$G$527</f>
        <v>Motor vehicles</v>
      </c>
      <c r="E143" s="165" t="str">
        <f>H498</f>
        <v>Airfield</v>
      </c>
      <c r="F143" s="165"/>
      <c r="G143" s="165" t="s">
        <v>80</v>
      </c>
      <c r="H143" s="121"/>
      <c r="I143" s="165"/>
      <c r="J143" s="165"/>
      <c r="K143" s="164"/>
      <c r="L143" s="164"/>
      <c r="M143" s="227"/>
      <c r="N143" s="535"/>
      <c r="O143" s="197">
        <f>N148</f>
        <v>3278838</v>
      </c>
      <c r="P143" s="164">
        <f t="shared" ref="P143:X143" si="45">O148</f>
        <v>2950954.2</v>
      </c>
      <c r="Q143" s="164">
        <f t="shared" si="45"/>
        <v>2623070.4</v>
      </c>
      <c r="R143" s="164">
        <f t="shared" si="45"/>
        <v>2295186.6</v>
      </c>
      <c r="S143" s="164">
        <f t="shared" si="45"/>
        <v>1967302.8</v>
      </c>
      <c r="T143" s="164">
        <f t="shared" si="45"/>
        <v>1639419</v>
      </c>
      <c r="U143" s="164">
        <f t="shared" si="45"/>
        <v>1311535.2</v>
      </c>
      <c r="V143" s="164">
        <f t="shared" si="45"/>
        <v>983651.39999999991</v>
      </c>
      <c r="W143" s="164">
        <f t="shared" si="45"/>
        <v>655767.60000000009</v>
      </c>
      <c r="X143" s="164">
        <f t="shared" si="45"/>
        <v>327883.80000000028</v>
      </c>
      <c r="Y143" s="164">
        <f t="shared" ref="Y143:AM143" si="46">X148</f>
        <v>0</v>
      </c>
      <c r="Z143" s="164">
        <f t="shared" si="46"/>
        <v>0</v>
      </c>
      <c r="AA143" s="164">
        <f t="shared" si="46"/>
        <v>0</v>
      </c>
      <c r="AB143" s="164">
        <f t="shared" si="46"/>
        <v>0</v>
      </c>
      <c r="AC143" s="164">
        <f t="shared" si="46"/>
        <v>0</v>
      </c>
      <c r="AD143" s="164">
        <f t="shared" si="46"/>
        <v>0</v>
      </c>
      <c r="AE143" s="164">
        <f t="shared" si="46"/>
        <v>0</v>
      </c>
      <c r="AF143" s="164">
        <f t="shared" si="46"/>
        <v>0</v>
      </c>
      <c r="AG143" s="164">
        <f t="shared" si="46"/>
        <v>0</v>
      </c>
      <c r="AH143" s="164">
        <f t="shared" si="46"/>
        <v>0</v>
      </c>
      <c r="AI143" s="164">
        <f t="shared" si="46"/>
        <v>0</v>
      </c>
      <c r="AJ143" s="164">
        <f t="shared" si="46"/>
        <v>0</v>
      </c>
      <c r="AK143" s="164">
        <f t="shared" si="46"/>
        <v>0</v>
      </c>
      <c r="AL143" s="164">
        <f t="shared" si="46"/>
        <v>0</v>
      </c>
      <c r="AM143" s="164">
        <f t="shared" si="46"/>
        <v>0</v>
      </c>
    </row>
    <row r="144" spans="1:39" outlineLevel="1">
      <c r="A144" s="100"/>
      <c r="B144" s="100"/>
      <c r="C144" s="100"/>
      <c r="D144" s="179" t="str">
        <f t="shared" si="44"/>
        <v>Motor vehicles</v>
      </c>
      <c r="E144" s="165" t="str">
        <f>H498</f>
        <v>Airfield</v>
      </c>
      <c r="F144" s="165"/>
      <c r="G144" s="165" t="s">
        <v>60</v>
      </c>
      <c r="H144" s="121"/>
      <c r="I144" s="165"/>
      <c r="J144" s="165"/>
      <c r="K144" s="203"/>
      <c r="L144" s="203"/>
      <c r="M144" s="202"/>
      <c r="N144" s="535"/>
      <c r="O144" s="528">
        <f>N148</f>
        <v>3278838</v>
      </c>
      <c r="P144" s="164">
        <f t="shared" ref="P144:X144" si="47">O144</f>
        <v>3278838</v>
      </c>
      <c r="Q144" s="164">
        <f t="shared" si="47"/>
        <v>3278838</v>
      </c>
      <c r="R144" s="164">
        <f t="shared" si="47"/>
        <v>3278838</v>
      </c>
      <c r="S144" s="164">
        <f t="shared" si="47"/>
        <v>3278838</v>
      </c>
      <c r="T144" s="164">
        <f t="shared" si="47"/>
        <v>3278838</v>
      </c>
      <c r="U144" s="164">
        <f t="shared" si="47"/>
        <v>3278838</v>
      </c>
      <c r="V144" s="164">
        <f t="shared" si="47"/>
        <v>3278838</v>
      </c>
      <c r="W144" s="164">
        <f t="shared" si="47"/>
        <v>3278838</v>
      </c>
      <c r="X144" s="164">
        <f t="shared" si="47"/>
        <v>3278838</v>
      </c>
      <c r="Y144" s="164">
        <f t="shared" ref="Y144:AM144" si="48">X144</f>
        <v>3278838</v>
      </c>
      <c r="Z144" s="164">
        <f t="shared" si="48"/>
        <v>3278838</v>
      </c>
      <c r="AA144" s="164">
        <f t="shared" si="48"/>
        <v>3278838</v>
      </c>
      <c r="AB144" s="164">
        <f t="shared" si="48"/>
        <v>3278838</v>
      </c>
      <c r="AC144" s="164">
        <f t="shared" si="48"/>
        <v>3278838</v>
      </c>
      <c r="AD144" s="164">
        <f t="shared" si="48"/>
        <v>3278838</v>
      </c>
      <c r="AE144" s="164">
        <f t="shared" si="48"/>
        <v>3278838</v>
      </c>
      <c r="AF144" s="164">
        <f t="shared" si="48"/>
        <v>3278838</v>
      </c>
      <c r="AG144" s="164">
        <f t="shared" si="48"/>
        <v>3278838</v>
      </c>
      <c r="AH144" s="164">
        <f t="shared" si="48"/>
        <v>3278838</v>
      </c>
      <c r="AI144" s="164">
        <f t="shared" si="48"/>
        <v>3278838</v>
      </c>
      <c r="AJ144" s="164">
        <f t="shared" si="48"/>
        <v>3278838</v>
      </c>
      <c r="AK144" s="164">
        <f t="shared" si="48"/>
        <v>3278838</v>
      </c>
      <c r="AL144" s="164">
        <f t="shared" si="48"/>
        <v>3278838</v>
      </c>
      <c r="AM144" s="164">
        <f t="shared" si="48"/>
        <v>3278838</v>
      </c>
    </row>
    <row r="145" spans="1:39" outlineLevel="1">
      <c r="A145" s="100"/>
      <c r="B145" s="100"/>
      <c r="C145" s="100"/>
      <c r="D145" s="179" t="str">
        <f t="shared" si="44"/>
        <v>Motor vehicles</v>
      </c>
      <c r="E145" s="165" t="str">
        <f>H498</f>
        <v>Airfield</v>
      </c>
      <c r="F145" s="165"/>
      <c r="G145" s="165" t="s">
        <v>79</v>
      </c>
      <c r="H145" s="121"/>
      <c r="I145" s="165"/>
      <c r="J145" s="165"/>
      <c r="K145" s="203"/>
      <c r="L145" s="203"/>
      <c r="M145" s="202"/>
      <c r="N145" s="535"/>
      <c r="O145" s="197">
        <f t="shared" ref="O145:X145" si="49">N147</f>
        <v>0</v>
      </c>
      <c r="P145" s="164">
        <f t="shared" si="49"/>
        <v>327883.8</v>
      </c>
      <c r="Q145" s="164">
        <f t="shared" si="49"/>
        <v>655767.6</v>
      </c>
      <c r="R145" s="164">
        <f t="shared" si="49"/>
        <v>983651.39999999991</v>
      </c>
      <c r="S145" s="164">
        <f t="shared" si="49"/>
        <v>1311535.2</v>
      </c>
      <c r="T145" s="164">
        <f t="shared" si="49"/>
        <v>1639419</v>
      </c>
      <c r="U145" s="164">
        <f t="shared" si="49"/>
        <v>1967302.8</v>
      </c>
      <c r="V145" s="164">
        <f t="shared" si="49"/>
        <v>2295186.6</v>
      </c>
      <c r="W145" s="164">
        <f t="shared" si="49"/>
        <v>2623070.4</v>
      </c>
      <c r="X145" s="164">
        <f t="shared" si="49"/>
        <v>2950954.1999999997</v>
      </c>
      <c r="Y145" s="164">
        <f t="shared" ref="Y145:AM145" si="50">X147</f>
        <v>3278837.9999999995</v>
      </c>
      <c r="Z145" s="164">
        <f t="shared" si="50"/>
        <v>3278837.9999999995</v>
      </c>
      <c r="AA145" s="164">
        <f t="shared" si="50"/>
        <v>3278837.9999999995</v>
      </c>
      <c r="AB145" s="164">
        <f t="shared" si="50"/>
        <v>3278837.9999999995</v>
      </c>
      <c r="AC145" s="164">
        <f t="shared" si="50"/>
        <v>3278837.9999999995</v>
      </c>
      <c r="AD145" s="164">
        <f t="shared" si="50"/>
        <v>3278837.9999999995</v>
      </c>
      <c r="AE145" s="164">
        <f t="shared" si="50"/>
        <v>3278837.9999999995</v>
      </c>
      <c r="AF145" s="164">
        <f t="shared" si="50"/>
        <v>3278837.9999999995</v>
      </c>
      <c r="AG145" s="164">
        <f t="shared" si="50"/>
        <v>3278837.9999999995</v>
      </c>
      <c r="AH145" s="164">
        <f t="shared" si="50"/>
        <v>3278837.9999999995</v>
      </c>
      <c r="AI145" s="164">
        <f t="shared" si="50"/>
        <v>3278837.9999999995</v>
      </c>
      <c r="AJ145" s="164">
        <f t="shared" si="50"/>
        <v>3278837.9999999995</v>
      </c>
      <c r="AK145" s="164">
        <f t="shared" si="50"/>
        <v>3278837.9999999995</v>
      </c>
      <c r="AL145" s="164">
        <f t="shared" si="50"/>
        <v>3278837.9999999995</v>
      </c>
      <c r="AM145" s="164">
        <f t="shared" si="50"/>
        <v>3278837.9999999995</v>
      </c>
    </row>
    <row r="146" spans="1:39" outlineLevel="1">
      <c r="A146" s="100"/>
      <c r="B146" s="100"/>
      <c r="C146" s="100"/>
      <c r="D146" s="179" t="str">
        <f t="shared" si="44"/>
        <v>Motor vehicles</v>
      </c>
      <c r="E146" s="165" t="str">
        <f>H498</f>
        <v>Airfield</v>
      </c>
      <c r="F146" s="165"/>
      <c r="G146" s="165" t="s">
        <v>78</v>
      </c>
      <c r="H146" s="121"/>
      <c r="I146" s="165"/>
      <c r="J146" s="165"/>
      <c r="K146" s="203"/>
      <c r="L146" s="203"/>
      <c r="M146" s="202"/>
      <c r="N146" s="535"/>
      <c r="O146" s="197">
        <f>IFERROR(MIN(O143,O144/'Asset base'!O$100),0)</f>
        <v>327883.8</v>
      </c>
      <c r="P146" s="164">
        <f>IFERROR(MIN(P143,P144/'Asset base'!P$100),0)</f>
        <v>327883.8</v>
      </c>
      <c r="Q146" s="164">
        <f>IFERROR(MIN(Q143,Q144/'Asset base'!Q$100),0)</f>
        <v>327883.8</v>
      </c>
      <c r="R146" s="164">
        <f>IFERROR(MIN(R143,R144/'Asset base'!R$100),0)</f>
        <v>327883.8</v>
      </c>
      <c r="S146" s="164">
        <f>IFERROR(MIN(S143,S144/'Asset base'!S$100),0)</f>
        <v>327883.8</v>
      </c>
      <c r="T146" s="164">
        <f>IFERROR(MIN(T143,T144/'Asset base'!T$100),0)</f>
        <v>327883.8</v>
      </c>
      <c r="U146" s="164">
        <f>IFERROR(MIN(U143,U144/'Asset base'!U$100),0)</f>
        <v>327883.8</v>
      </c>
      <c r="V146" s="164">
        <f>IFERROR(MIN(V143,V144/'Asset base'!V$100),0)</f>
        <v>327883.8</v>
      </c>
      <c r="W146" s="164">
        <f>IFERROR(MIN(W143,W144/'Asset base'!W$100),0)</f>
        <v>327883.8</v>
      </c>
      <c r="X146" s="164">
        <f>IFERROR(MIN(X143,X144/'Asset base'!X$100),0)</f>
        <v>327883.8</v>
      </c>
      <c r="Y146" s="164">
        <f>IFERROR(MIN(Y143,Y144/'Asset base'!Y$100),0)</f>
        <v>0</v>
      </c>
      <c r="Z146" s="164">
        <f>IFERROR(MIN(Z143,Z144/'Asset base'!Z$100),0)</f>
        <v>0</v>
      </c>
      <c r="AA146" s="164">
        <f>IFERROR(MIN(AA143,AA144/'Asset base'!AA$100),0)</f>
        <v>0</v>
      </c>
      <c r="AB146" s="164">
        <f>IFERROR(MIN(AB143,AB144/'Asset base'!AB$100),0)</f>
        <v>0</v>
      </c>
      <c r="AC146" s="164">
        <f>IFERROR(MIN(AC143,AC144/'Asset base'!AC$100),0)</f>
        <v>0</v>
      </c>
      <c r="AD146" s="164">
        <f>IFERROR(MIN(AD143,AD144/'Asset base'!AD$100),0)</f>
        <v>0</v>
      </c>
      <c r="AE146" s="164">
        <f>IFERROR(MIN(AE143,AE144/'Asset base'!AE$100),0)</f>
        <v>0</v>
      </c>
      <c r="AF146" s="164">
        <f>IFERROR(MIN(AF143,AF144/'Asset base'!AF$100),0)</f>
        <v>0</v>
      </c>
      <c r="AG146" s="164">
        <f>IFERROR(MIN(AG143,AG144/'Asset base'!AG$100),0)</f>
        <v>0</v>
      </c>
      <c r="AH146" s="164">
        <f>IFERROR(MIN(AH143,AH144/'Asset base'!AH$100),0)</f>
        <v>0</v>
      </c>
      <c r="AI146" s="164">
        <f>IFERROR(MIN(AI143,AI144/'Asset base'!AI$100),0)</f>
        <v>0</v>
      </c>
      <c r="AJ146" s="164">
        <f>IFERROR(MIN(AJ143,AJ144/'Asset base'!AJ$100),0)</f>
        <v>0</v>
      </c>
      <c r="AK146" s="164">
        <f>IFERROR(MIN(AK143,AK144/'Asset base'!AK$100),0)</f>
        <v>0</v>
      </c>
      <c r="AL146" s="164">
        <f>IFERROR(MIN(AL143,AL144/'Asset base'!AL$100),0)</f>
        <v>0</v>
      </c>
      <c r="AM146" s="164">
        <f>IFERROR(MIN(AM143,AM144/'Asset base'!AM$100),0)</f>
        <v>0</v>
      </c>
    </row>
    <row r="147" spans="1:39" outlineLevel="1">
      <c r="A147" s="100"/>
      <c r="B147" s="100"/>
      <c r="C147" s="100"/>
      <c r="D147" s="179" t="str">
        <f t="shared" si="44"/>
        <v>Motor vehicles</v>
      </c>
      <c r="E147" s="165" t="str">
        <f>H498</f>
        <v>Airfield</v>
      </c>
      <c r="F147" s="165"/>
      <c r="G147" s="165" t="s">
        <v>77</v>
      </c>
      <c r="H147" s="121"/>
      <c r="I147" s="165"/>
      <c r="J147" s="165"/>
      <c r="K147" s="302"/>
      <c r="L147" s="302"/>
      <c r="M147" s="315"/>
      <c r="N147" s="535"/>
      <c r="O147" s="197">
        <f t="shared" ref="O147:X147" si="51">SUM(O145:O146)</f>
        <v>327883.8</v>
      </c>
      <c r="P147" s="164">
        <f t="shared" si="51"/>
        <v>655767.6</v>
      </c>
      <c r="Q147" s="164">
        <f t="shared" si="51"/>
        <v>983651.39999999991</v>
      </c>
      <c r="R147" s="164">
        <f t="shared" si="51"/>
        <v>1311535.2</v>
      </c>
      <c r="S147" s="164">
        <f t="shared" si="51"/>
        <v>1639419</v>
      </c>
      <c r="T147" s="164">
        <f t="shared" si="51"/>
        <v>1967302.8</v>
      </c>
      <c r="U147" s="164">
        <f t="shared" si="51"/>
        <v>2295186.6</v>
      </c>
      <c r="V147" s="164">
        <f t="shared" si="51"/>
        <v>2623070.4</v>
      </c>
      <c r="W147" s="164">
        <f t="shared" si="51"/>
        <v>2950954.1999999997</v>
      </c>
      <c r="X147" s="164">
        <f t="shared" si="51"/>
        <v>3278837.9999999995</v>
      </c>
      <c r="Y147" s="164">
        <f>SUM(Y145:Y146)</f>
        <v>3278837.9999999995</v>
      </c>
      <c r="Z147" s="164">
        <f t="shared" ref="Z147:AM147" si="52">SUM(Z145:Z146)</f>
        <v>3278837.9999999995</v>
      </c>
      <c r="AA147" s="164">
        <f t="shared" si="52"/>
        <v>3278837.9999999995</v>
      </c>
      <c r="AB147" s="164">
        <f t="shared" si="52"/>
        <v>3278837.9999999995</v>
      </c>
      <c r="AC147" s="164">
        <f t="shared" si="52"/>
        <v>3278837.9999999995</v>
      </c>
      <c r="AD147" s="164">
        <f t="shared" si="52"/>
        <v>3278837.9999999995</v>
      </c>
      <c r="AE147" s="164">
        <f t="shared" si="52"/>
        <v>3278837.9999999995</v>
      </c>
      <c r="AF147" s="164">
        <f t="shared" si="52"/>
        <v>3278837.9999999995</v>
      </c>
      <c r="AG147" s="164">
        <f t="shared" si="52"/>
        <v>3278837.9999999995</v>
      </c>
      <c r="AH147" s="164">
        <f t="shared" si="52"/>
        <v>3278837.9999999995</v>
      </c>
      <c r="AI147" s="164">
        <f t="shared" si="52"/>
        <v>3278837.9999999995</v>
      </c>
      <c r="AJ147" s="164">
        <f t="shared" si="52"/>
        <v>3278837.9999999995</v>
      </c>
      <c r="AK147" s="164">
        <f t="shared" si="52"/>
        <v>3278837.9999999995</v>
      </c>
      <c r="AL147" s="164">
        <f t="shared" si="52"/>
        <v>3278837.9999999995</v>
      </c>
      <c r="AM147" s="164">
        <f t="shared" si="52"/>
        <v>3278837.9999999995</v>
      </c>
    </row>
    <row r="148" spans="1:39" outlineLevel="1">
      <c r="A148" s="100"/>
      <c r="B148" s="100"/>
      <c r="C148" s="100"/>
      <c r="D148" s="179" t="str">
        <f t="shared" si="44"/>
        <v>Motor vehicles</v>
      </c>
      <c r="E148" s="165" t="str">
        <f>H498</f>
        <v>Airfield</v>
      </c>
      <c r="F148" s="165"/>
      <c r="G148" s="200" t="s">
        <v>76</v>
      </c>
      <c r="H148" s="201"/>
      <c r="I148" s="200"/>
      <c r="J148" s="200"/>
      <c r="K148" s="164">
        <f t="shared" ref="K148:S148" si="53">K144-K147</f>
        <v>0</v>
      </c>
      <c r="L148" s="164">
        <f t="shared" si="53"/>
        <v>0</v>
      </c>
      <c r="M148" s="227">
        <f>N143</f>
        <v>0</v>
      </c>
      <c r="N148" s="541">
        <f>'[7]2008-2012 Asset Mov''t Revised'!$R$78</f>
        <v>3278838</v>
      </c>
      <c r="O148" s="199">
        <f t="shared" si="53"/>
        <v>2950954.2</v>
      </c>
      <c r="P148" s="198">
        <f t="shared" si="53"/>
        <v>2623070.4</v>
      </c>
      <c r="Q148" s="198">
        <f t="shared" si="53"/>
        <v>2295186.6</v>
      </c>
      <c r="R148" s="198">
        <f t="shared" si="53"/>
        <v>1967302.8</v>
      </c>
      <c r="S148" s="198">
        <f t="shared" si="53"/>
        <v>1639419</v>
      </c>
      <c r="T148" s="198">
        <f t="shared" ref="T148:AM148" si="54">T144-T147</f>
        <v>1311535.2</v>
      </c>
      <c r="U148" s="198">
        <f t="shared" si="54"/>
        <v>983651.39999999991</v>
      </c>
      <c r="V148" s="198">
        <f t="shared" si="54"/>
        <v>655767.60000000009</v>
      </c>
      <c r="W148" s="198">
        <f t="shared" si="54"/>
        <v>327883.80000000028</v>
      </c>
      <c r="X148" s="198">
        <f t="shared" si="54"/>
        <v>0</v>
      </c>
      <c r="Y148" s="198">
        <f t="shared" si="54"/>
        <v>0</v>
      </c>
      <c r="Z148" s="198">
        <f t="shared" si="54"/>
        <v>0</v>
      </c>
      <c r="AA148" s="198">
        <f t="shared" si="54"/>
        <v>0</v>
      </c>
      <c r="AB148" s="198">
        <f t="shared" si="54"/>
        <v>0</v>
      </c>
      <c r="AC148" s="198">
        <f t="shared" si="54"/>
        <v>0</v>
      </c>
      <c r="AD148" s="198">
        <f t="shared" si="54"/>
        <v>0</v>
      </c>
      <c r="AE148" s="198">
        <f t="shared" si="54"/>
        <v>0</v>
      </c>
      <c r="AF148" s="198">
        <f t="shared" si="54"/>
        <v>0</v>
      </c>
      <c r="AG148" s="198">
        <f t="shared" si="54"/>
        <v>0</v>
      </c>
      <c r="AH148" s="198">
        <f t="shared" si="54"/>
        <v>0</v>
      </c>
      <c r="AI148" s="198">
        <f t="shared" si="54"/>
        <v>0</v>
      </c>
      <c r="AJ148" s="198">
        <f t="shared" si="54"/>
        <v>0</v>
      </c>
      <c r="AK148" s="198">
        <f t="shared" si="54"/>
        <v>0</v>
      </c>
      <c r="AL148" s="198">
        <f t="shared" si="54"/>
        <v>0</v>
      </c>
      <c r="AM148" s="198">
        <f t="shared" si="54"/>
        <v>0</v>
      </c>
    </row>
    <row r="149" spans="1:39" outlineLevel="1">
      <c r="A149" s="100"/>
      <c r="B149" s="100"/>
      <c r="C149" s="100"/>
      <c r="D149" s="179"/>
      <c r="E149" s="165"/>
      <c r="F149" s="165"/>
      <c r="G149" s="205"/>
      <c r="H149" s="121"/>
      <c r="I149" s="165"/>
      <c r="J149" s="165"/>
      <c r="K149" s="164"/>
      <c r="L149" s="164"/>
      <c r="M149" s="227"/>
      <c r="N149" s="197"/>
      <c r="O149" s="197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5"/>
      <c r="AI149" s="165"/>
      <c r="AJ149" s="165"/>
      <c r="AK149" s="165"/>
      <c r="AL149" s="165"/>
      <c r="AM149" s="165"/>
    </row>
    <row r="150" spans="1:39" outlineLevel="1">
      <c r="A150" s="100"/>
      <c r="B150" s="100"/>
      <c r="C150" s="100"/>
      <c r="D150" s="179"/>
      <c r="E150" s="165"/>
      <c r="F150" s="165"/>
      <c r="G150" s="206" t="str">
        <f>G536</f>
        <v>Plant &amp; equipment</v>
      </c>
      <c r="H150" s="121"/>
      <c r="I150" s="165"/>
      <c r="J150" s="165"/>
      <c r="K150" s="164"/>
      <c r="L150" s="164"/>
      <c r="M150" s="227"/>
      <c r="N150" s="197"/>
      <c r="O150" s="197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</row>
    <row r="151" spans="1:39" outlineLevel="1">
      <c r="A151" s="100"/>
      <c r="B151" s="100"/>
      <c r="C151" s="100"/>
      <c r="D151" s="179"/>
      <c r="E151" s="165"/>
      <c r="F151" s="165"/>
      <c r="G151" s="205"/>
      <c r="H151" s="121"/>
      <c r="I151" s="165"/>
      <c r="J151" s="165"/>
      <c r="K151" s="164"/>
      <c r="L151" s="164"/>
      <c r="M151" s="227"/>
      <c r="N151" s="197"/>
      <c r="O151" s="197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</row>
    <row r="152" spans="1:39" outlineLevel="1">
      <c r="A152" s="100"/>
      <c r="B152" s="100"/>
      <c r="C152" s="100"/>
      <c r="D152" s="179" t="s">
        <v>34</v>
      </c>
      <c r="E152" s="165" t="str">
        <f>H498</f>
        <v>Airfield</v>
      </c>
      <c r="F152" s="165"/>
      <c r="G152" s="165" t="s">
        <v>80</v>
      </c>
      <c r="H152" s="121"/>
      <c r="I152" s="165"/>
      <c r="J152" s="165"/>
      <c r="K152" s="164"/>
      <c r="L152" s="164"/>
      <c r="M152" s="227"/>
      <c r="N152" s="535"/>
      <c r="O152" s="197">
        <f>N157</f>
        <v>714219.18433053279</v>
      </c>
      <c r="P152" s="164">
        <f t="shared" ref="P152:X152" si="55">O157</f>
        <v>642797.26589747949</v>
      </c>
      <c r="Q152" s="164">
        <f t="shared" si="55"/>
        <v>571375.34746442619</v>
      </c>
      <c r="R152" s="164">
        <f t="shared" si="55"/>
        <v>499953.429031373</v>
      </c>
      <c r="S152" s="164">
        <f t="shared" si="55"/>
        <v>428531.5105983197</v>
      </c>
      <c r="T152" s="164">
        <f t="shared" si="55"/>
        <v>357109.5921652664</v>
      </c>
      <c r="U152" s="164">
        <f t="shared" si="55"/>
        <v>285687.67373221309</v>
      </c>
      <c r="V152" s="164">
        <f t="shared" si="55"/>
        <v>214265.75529915979</v>
      </c>
      <c r="W152" s="164">
        <f t="shared" si="55"/>
        <v>142843.83686610649</v>
      </c>
      <c r="X152" s="164">
        <f t="shared" si="55"/>
        <v>71421.918433053186</v>
      </c>
      <c r="Y152" s="164">
        <f t="shared" ref="Y152:AM152" si="56">X157</f>
        <v>0</v>
      </c>
      <c r="Z152" s="164">
        <f t="shared" si="56"/>
        <v>0</v>
      </c>
      <c r="AA152" s="164">
        <f t="shared" si="56"/>
        <v>0</v>
      </c>
      <c r="AB152" s="164">
        <f t="shared" si="56"/>
        <v>0</v>
      </c>
      <c r="AC152" s="164">
        <f t="shared" si="56"/>
        <v>0</v>
      </c>
      <c r="AD152" s="164">
        <f t="shared" si="56"/>
        <v>0</v>
      </c>
      <c r="AE152" s="164">
        <f t="shared" si="56"/>
        <v>0</v>
      </c>
      <c r="AF152" s="164">
        <f t="shared" si="56"/>
        <v>0</v>
      </c>
      <c r="AG152" s="164">
        <f t="shared" si="56"/>
        <v>0</v>
      </c>
      <c r="AH152" s="164">
        <f t="shared" si="56"/>
        <v>0</v>
      </c>
      <c r="AI152" s="164">
        <f t="shared" si="56"/>
        <v>0</v>
      </c>
      <c r="AJ152" s="164">
        <f t="shared" si="56"/>
        <v>0</v>
      </c>
      <c r="AK152" s="164">
        <f t="shared" si="56"/>
        <v>0</v>
      </c>
      <c r="AL152" s="164">
        <f t="shared" si="56"/>
        <v>0</v>
      </c>
      <c r="AM152" s="164">
        <f t="shared" si="56"/>
        <v>0</v>
      </c>
    </row>
    <row r="153" spans="1:39" outlineLevel="1">
      <c r="A153" s="100"/>
      <c r="B153" s="100"/>
      <c r="C153" s="100"/>
      <c r="D153" s="179" t="s">
        <v>34</v>
      </c>
      <c r="E153" s="165" t="str">
        <f>H498</f>
        <v>Airfield</v>
      </c>
      <c r="F153" s="165"/>
      <c r="G153" s="165" t="s">
        <v>60</v>
      </c>
      <c r="H153" s="121"/>
      <c r="I153" s="165"/>
      <c r="J153" s="165"/>
      <c r="K153" s="203"/>
      <c r="L153" s="203"/>
      <c r="M153" s="202"/>
      <c r="N153" s="535"/>
      <c r="O153" s="528">
        <f>N157</f>
        <v>714219.18433053279</v>
      </c>
      <c r="P153" s="164">
        <f t="shared" ref="P153:X153" si="57">O153</f>
        <v>714219.18433053279</v>
      </c>
      <c r="Q153" s="164">
        <f t="shared" si="57"/>
        <v>714219.18433053279</v>
      </c>
      <c r="R153" s="164">
        <f t="shared" si="57"/>
        <v>714219.18433053279</v>
      </c>
      <c r="S153" s="164">
        <f t="shared" si="57"/>
        <v>714219.18433053279</v>
      </c>
      <c r="T153" s="164">
        <f t="shared" si="57"/>
        <v>714219.18433053279</v>
      </c>
      <c r="U153" s="164">
        <f t="shared" si="57"/>
        <v>714219.18433053279</v>
      </c>
      <c r="V153" s="164">
        <f t="shared" si="57"/>
        <v>714219.18433053279</v>
      </c>
      <c r="W153" s="164">
        <f t="shared" si="57"/>
        <v>714219.18433053279</v>
      </c>
      <c r="X153" s="164">
        <f t="shared" si="57"/>
        <v>714219.18433053279</v>
      </c>
      <c r="Y153" s="164">
        <f t="shared" ref="Y153:AM153" si="58">X153</f>
        <v>714219.18433053279</v>
      </c>
      <c r="Z153" s="164">
        <f t="shared" si="58"/>
        <v>714219.18433053279</v>
      </c>
      <c r="AA153" s="164">
        <f t="shared" si="58"/>
        <v>714219.18433053279</v>
      </c>
      <c r="AB153" s="164">
        <f t="shared" si="58"/>
        <v>714219.18433053279</v>
      </c>
      <c r="AC153" s="164">
        <f t="shared" si="58"/>
        <v>714219.18433053279</v>
      </c>
      <c r="AD153" s="164">
        <f t="shared" si="58"/>
        <v>714219.18433053279</v>
      </c>
      <c r="AE153" s="164">
        <f t="shared" si="58"/>
        <v>714219.18433053279</v>
      </c>
      <c r="AF153" s="164">
        <f t="shared" si="58"/>
        <v>714219.18433053279</v>
      </c>
      <c r="AG153" s="164">
        <f t="shared" si="58"/>
        <v>714219.18433053279</v>
      </c>
      <c r="AH153" s="164">
        <f t="shared" si="58"/>
        <v>714219.18433053279</v>
      </c>
      <c r="AI153" s="164">
        <f t="shared" si="58"/>
        <v>714219.18433053279</v>
      </c>
      <c r="AJ153" s="164">
        <f t="shared" si="58"/>
        <v>714219.18433053279</v>
      </c>
      <c r="AK153" s="164">
        <f t="shared" si="58"/>
        <v>714219.18433053279</v>
      </c>
      <c r="AL153" s="164">
        <f t="shared" si="58"/>
        <v>714219.18433053279</v>
      </c>
      <c r="AM153" s="164">
        <f t="shared" si="58"/>
        <v>714219.18433053279</v>
      </c>
    </row>
    <row r="154" spans="1:39" outlineLevel="1">
      <c r="A154" s="100"/>
      <c r="B154" s="100"/>
      <c r="C154" s="100"/>
      <c r="D154" s="179" t="s">
        <v>34</v>
      </c>
      <c r="E154" s="165" t="str">
        <f>H498</f>
        <v>Airfield</v>
      </c>
      <c r="F154" s="165"/>
      <c r="G154" s="165" t="s">
        <v>79</v>
      </c>
      <c r="H154" s="121"/>
      <c r="I154" s="165"/>
      <c r="J154" s="165"/>
      <c r="K154" s="203"/>
      <c r="L154" s="203"/>
      <c r="M154" s="202"/>
      <c r="N154" s="535"/>
      <c r="O154" s="197">
        <f t="shared" ref="O154:X154" si="59">N156</f>
        <v>0</v>
      </c>
      <c r="P154" s="164">
        <f t="shared" si="59"/>
        <v>71421.918433053273</v>
      </c>
      <c r="Q154" s="164">
        <f t="shared" si="59"/>
        <v>142843.83686610655</v>
      </c>
      <c r="R154" s="164">
        <f t="shared" si="59"/>
        <v>214265.75529915982</v>
      </c>
      <c r="S154" s="164">
        <f t="shared" si="59"/>
        <v>285687.67373221309</v>
      </c>
      <c r="T154" s="164">
        <f t="shared" si="59"/>
        <v>357109.5921652664</v>
      </c>
      <c r="U154" s="164">
        <f t="shared" si="59"/>
        <v>428531.5105983197</v>
      </c>
      <c r="V154" s="164">
        <f t="shared" si="59"/>
        <v>499953.429031373</v>
      </c>
      <c r="W154" s="164">
        <f t="shared" si="59"/>
        <v>571375.3474644263</v>
      </c>
      <c r="X154" s="164">
        <f t="shared" si="59"/>
        <v>642797.26589747961</v>
      </c>
      <c r="Y154" s="164">
        <f t="shared" ref="Y154:AM154" si="60">X156</f>
        <v>714219.18433053279</v>
      </c>
      <c r="Z154" s="164">
        <f t="shared" si="60"/>
        <v>714219.18433053279</v>
      </c>
      <c r="AA154" s="164">
        <f t="shared" si="60"/>
        <v>714219.18433053279</v>
      </c>
      <c r="AB154" s="164">
        <f t="shared" si="60"/>
        <v>714219.18433053279</v>
      </c>
      <c r="AC154" s="164">
        <f t="shared" si="60"/>
        <v>714219.18433053279</v>
      </c>
      <c r="AD154" s="164">
        <f t="shared" si="60"/>
        <v>714219.18433053279</v>
      </c>
      <c r="AE154" s="164">
        <f t="shared" si="60"/>
        <v>714219.18433053279</v>
      </c>
      <c r="AF154" s="164">
        <f t="shared" si="60"/>
        <v>714219.18433053279</v>
      </c>
      <c r="AG154" s="164">
        <f t="shared" si="60"/>
        <v>714219.18433053279</v>
      </c>
      <c r="AH154" s="164">
        <f t="shared" si="60"/>
        <v>714219.18433053279</v>
      </c>
      <c r="AI154" s="164">
        <f t="shared" si="60"/>
        <v>714219.18433053279</v>
      </c>
      <c r="AJ154" s="164">
        <f t="shared" si="60"/>
        <v>714219.18433053279</v>
      </c>
      <c r="AK154" s="164">
        <f t="shared" si="60"/>
        <v>714219.18433053279</v>
      </c>
      <c r="AL154" s="164">
        <f t="shared" si="60"/>
        <v>714219.18433053279</v>
      </c>
      <c r="AM154" s="164">
        <f t="shared" si="60"/>
        <v>714219.18433053279</v>
      </c>
    </row>
    <row r="155" spans="1:39" outlineLevel="1">
      <c r="A155" s="100"/>
      <c r="B155" s="100"/>
      <c r="C155" s="100"/>
      <c r="D155" s="179" t="s">
        <v>34</v>
      </c>
      <c r="E155" s="165" t="str">
        <f>H498</f>
        <v>Airfield</v>
      </c>
      <c r="F155" s="165"/>
      <c r="G155" s="165" t="s">
        <v>78</v>
      </c>
      <c r="H155" s="121"/>
      <c r="I155" s="165"/>
      <c r="J155" s="165"/>
      <c r="K155" s="203"/>
      <c r="L155" s="203"/>
      <c r="M155" s="202"/>
      <c r="N155" s="535"/>
      <c r="O155" s="197">
        <f>IFERROR(MIN(O152,O153/'Asset base'!O$101),0)</f>
        <v>71421.918433053273</v>
      </c>
      <c r="P155" s="164">
        <f>IFERROR(MIN(P152,P153/'Asset base'!P$101),0)</f>
        <v>71421.918433053273</v>
      </c>
      <c r="Q155" s="164">
        <f>IFERROR(MIN(Q152,Q153/'Asset base'!Q$101),0)</f>
        <v>71421.918433053273</v>
      </c>
      <c r="R155" s="164">
        <f>IFERROR(MIN(R152,R153/'Asset base'!R$101),0)</f>
        <v>71421.918433053273</v>
      </c>
      <c r="S155" s="164">
        <f>IFERROR(MIN(S152,S153/'Asset base'!S$101),0)</f>
        <v>71421.918433053273</v>
      </c>
      <c r="T155" s="164">
        <f>IFERROR(MIN(T152,T153/'Asset base'!T$101),0)</f>
        <v>71421.918433053273</v>
      </c>
      <c r="U155" s="164">
        <f>IFERROR(MIN(U152,U153/'Asset base'!U$101),0)</f>
        <v>71421.918433053273</v>
      </c>
      <c r="V155" s="164">
        <f>IFERROR(MIN(V152,V153/'Asset base'!V$101),0)</f>
        <v>71421.918433053273</v>
      </c>
      <c r="W155" s="164">
        <f>IFERROR(MIN(W152,W153/'Asset base'!W$101),0)</f>
        <v>71421.918433053273</v>
      </c>
      <c r="X155" s="164">
        <f>IFERROR(MIN(X152,X153/'Asset base'!X$101),0)</f>
        <v>71421.918433053186</v>
      </c>
      <c r="Y155" s="164">
        <f>IFERROR(MIN(Y152,Y153/'Asset base'!Y$101),0)</f>
        <v>0</v>
      </c>
      <c r="Z155" s="164">
        <f>IFERROR(MIN(Z152,Z153/'Asset base'!Z$101),0)</f>
        <v>0</v>
      </c>
      <c r="AA155" s="164">
        <f>IFERROR(MIN(AA152,AA153/'Asset base'!AA$101),0)</f>
        <v>0</v>
      </c>
      <c r="AB155" s="164">
        <f>IFERROR(MIN(AB152,AB153/'Asset base'!AB$101),0)</f>
        <v>0</v>
      </c>
      <c r="AC155" s="164">
        <f>IFERROR(MIN(AC152,AC153/'Asset base'!AC$101),0)</f>
        <v>0</v>
      </c>
      <c r="AD155" s="164">
        <f>IFERROR(MIN(AD152,AD153/'Asset base'!AD$101),0)</f>
        <v>0</v>
      </c>
      <c r="AE155" s="164">
        <f>IFERROR(MIN(AE152,AE153/'Asset base'!AE$101),0)</f>
        <v>0</v>
      </c>
      <c r="AF155" s="164">
        <f>IFERROR(MIN(AF152,AF153/'Asset base'!AF$101),0)</f>
        <v>0</v>
      </c>
      <c r="AG155" s="164">
        <f>IFERROR(MIN(AG152,AG153/'Asset base'!AG$101),0)</f>
        <v>0</v>
      </c>
      <c r="AH155" s="164">
        <f>IFERROR(MIN(AH152,AH153/'Asset base'!AH$101),0)</f>
        <v>0</v>
      </c>
      <c r="AI155" s="164">
        <f>IFERROR(MIN(AI152,AI153/'Asset base'!AI$101),0)</f>
        <v>0</v>
      </c>
      <c r="AJ155" s="164">
        <f>IFERROR(MIN(AJ152,AJ153/'Asset base'!AJ$101),0)</f>
        <v>0</v>
      </c>
      <c r="AK155" s="164">
        <f>IFERROR(MIN(AK152,AK153/'Asset base'!AK$101),0)</f>
        <v>0</v>
      </c>
      <c r="AL155" s="164">
        <f>IFERROR(MIN(AL152,AL153/'Asset base'!AL$101),0)</f>
        <v>0</v>
      </c>
      <c r="AM155" s="164">
        <f>IFERROR(MIN(AM152,AM153/'Asset base'!AM$101),0)</f>
        <v>0</v>
      </c>
    </row>
    <row r="156" spans="1:39" outlineLevel="1">
      <c r="A156" s="100"/>
      <c r="B156" s="100"/>
      <c r="C156" s="100"/>
      <c r="D156" s="179" t="s">
        <v>34</v>
      </c>
      <c r="E156" s="165" t="str">
        <f>H498</f>
        <v>Airfield</v>
      </c>
      <c r="F156" s="165"/>
      <c r="G156" s="165" t="s">
        <v>77</v>
      </c>
      <c r="H156" s="121"/>
      <c r="I156" s="165"/>
      <c r="J156" s="165"/>
      <c r="K156" s="302"/>
      <c r="L156" s="302"/>
      <c r="M156" s="315"/>
      <c r="N156" s="535"/>
      <c r="O156" s="197">
        <f t="shared" ref="O156:X156" si="61">SUM(O154:O155)</f>
        <v>71421.918433053273</v>
      </c>
      <c r="P156" s="164">
        <f t="shared" si="61"/>
        <v>142843.83686610655</v>
      </c>
      <c r="Q156" s="164">
        <f t="shared" si="61"/>
        <v>214265.75529915982</v>
      </c>
      <c r="R156" s="164">
        <f t="shared" si="61"/>
        <v>285687.67373221309</v>
      </c>
      <c r="S156" s="164">
        <f t="shared" si="61"/>
        <v>357109.5921652664</v>
      </c>
      <c r="T156" s="164">
        <f t="shared" si="61"/>
        <v>428531.5105983197</v>
      </c>
      <c r="U156" s="164">
        <f t="shared" si="61"/>
        <v>499953.429031373</v>
      </c>
      <c r="V156" s="164">
        <f t="shared" si="61"/>
        <v>571375.3474644263</v>
      </c>
      <c r="W156" s="164">
        <f t="shared" si="61"/>
        <v>642797.26589747961</v>
      </c>
      <c r="X156" s="164">
        <f t="shared" si="61"/>
        <v>714219.18433053279</v>
      </c>
      <c r="Y156" s="164">
        <f>SUM(Y154:Y155)</f>
        <v>714219.18433053279</v>
      </c>
      <c r="Z156" s="164">
        <f t="shared" ref="Z156:AM156" si="62">SUM(Z154:Z155)</f>
        <v>714219.18433053279</v>
      </c>
      <c r="AA156" s="164">
        <f t="shared" si="62"/>
        <v>714219.18433053279</v>
      </c>
      <c r="AB156" s="164">
        <f t="shared" si="62"/>
        <v>714219.18433053279</v>
      </c>
      <c r="AC156" s="164">
        <f t="shared" si="62"/>
        <v>714219.18433053279</v>
      </c>
      <c r="AD156" s="164">
        <f t="shared" si="62"/>
        <v>714219.18433053279</v>
      </c>
      <c r="AE156" s="164">
        <f t="shared" si="62"/>
        <v>714219.18433053279</v>
      </c>
      <c r="AF156" s="164">
        <f t="shared" si="62"/>
        <v>714219.18433053279</v>
      </c>
      <c r="AG156" s="164">
        <f t="shared" si="62"/>
        <v>714219.18433053279</v>
      </c>
      <c r="AH156" s="164">
        <f t="shared" si="62"/>
        <v>714219.18433053279</v>
      </c>
      <c r="AI156" s="164">
        <f t="shared" si="62"/>
        <v>714219.18433053279</v>
      </c>
      <c r="AJ156" s="164">
        <f t="shared" si="62"/>
        <v>714219.18433053279</v>
      </c>
      <c r="AK156" s="164">
        <f t="shared" si="62"/>
        <v>714219.18433053279</v>
      </c>
      <c r="AL156" s="164">
        <f t="shared" si="62"/>
        <v>714219.18433053279</v>
      </c>
      <c r="AM156" s="164">
        <f t="shared" si="62"/>
        <v>714219.18433053279</v>
      </c>
    </row>
    <row r="157" spans="1:39" outlineLevel="1">
      <c r="A157" s="100"/>
      <c r="B157" s="100"/>
      <c r="C157" s="100"/>
      <c r="D157" s="179" t="s">
        <v>34</v>
      </c>
      <c r="E157" s="165" t="str">
        <f>H498</f>
        <v>Airfield</v>
      </c>
      <c r="F157" s="165"/>
      <c r="G157" s="200" t="s">
        <v>76</v>
      </c>
      <c r="H157" s="201"/>
      <c r="I157" s="200"/>
      <c r="J157" s="200"/>
      <c r="K157" s="164">
        <f t="shared" ref="K157:S157" si="63">K153-K156</f>
        <v>0</v>
      </c>
      <c r="L157" s="164">
        <f t="shared" si="63"/>
        <v>0</v>
      </c>
      <c r="M157" s="227">
        <f>N152</f>
        <v>0</v>
      </c>
      <c r="N157" s="541">
        <f>'[7]2008-2012 Asset Mov''t Revised'!$R$79</f>
        <v>714219.18433053279</v>
      </c>
      <c r="O157" s="199">
        <f t="shared" si="63"/>
        <v>642797.26589747949</v>
      </c>
      <c r="P157" s="198">
        <f t="shared" si="63"/>
        <v>571375.34746442619</v>
      </c>
      <c r="Q157" s="198">
        <f t="shared" si="63"/>
        <v>499953.429031373</v>
      </c>
      <c r="R157" s="198">
        <f t="shared" si="63"/>
        <v>428531.5105983197</v>
      </c>
      <c r="S157" s="198">
        <f t="shared" si="63"/>
        <v>357109.5921652664</v>
      </c>
      <c r="T157" s="198">
        <f t="shared" ref="T157:AM157" si="64">T153-T156</f>
        <v>285687.67373221309</v>
      </c>
      <c r="U157" s="198">
        <f t="shared" si="64"/>
        <v>214265.75529915979</v>
      </c>
      <c r="V157" s="198">
        <f t="shared" si="64"/>
        <v>142843.83686610649</v>
      </c>
      <c r="W157" s="198">
        <f t="shared" si="64"/>
        <v>71421.918433053186</v>
      </c>
      <c r="X157" s="198">
        <f t="shared" si="64"/>
        <v>0</v>
      </c>
      <c r="Y157" s="198">
        <f t="shared" si="64"/>
        <v>0</v>
      </c>
      <c r="Z157" s="198">
        <f t="shared" si="64"/>
        <v>0</v>
      </c>
      <c r="AA157" s="198">
        <f t="shared" si="64"/>
        <v>0</v>
      </c>
      <c r="AB157" s="198">
        <f t="shared" si="64"/>
        <v>0</v>
      </c>
      <c r="AC157" s="198">
        <f t="shared" si="64"/>
        <v>0</v>
      </c>
      <c r="AD157" s="198">
        <f t="shared" si="64"/>
        <v>0</v>
      </c>
      <c r="AE157" s="198">
        <f t="shared" si="64"/>
        <v>0</v>
      </c>
      <c r="AF157" s="198">
        <f t="shared" si="64"/>
        <v>0</v>
      </c>
      <c r="AG157" s="198">
        <f t="shared" si="64"/>
        <v>0</v>
      </c>
      <c r="AH157" s="198">
        <f t="shared" si="64"/>
        <v>0</v>
      </c>
      <c r="AI157" s="198">
        <f t="shared" si="64"/>
        <v>0</v>
      </c>
      <c r="AJ157" s="198">
        <f t="shared" si="64"/>
        <v>0</v>
      </c>
      <c r="AK157" s="198">
        <f t="shared" si="64"/>
        <v>0</v>
      </c>
      <c r="AL157" s="198">
        <f t="shared" si="64"/>
        <v>0</v>
      </c>
      <c r="AM157" s="198">
        <f t="shared" si="64"/>
        <v>0</v>
      </c>
    </row>
    <row r="158" spans="1:39" outlineLevel="1">
      <c r="A158" s="100"/>
      <c r="B158" s="100"/>
      <c r="C158" s="100"/>
      <c r="D158" s="179"/>
      <c r="E158" s="165"/>
      <c r="F158" s="165"/>
      <c r="G158" s="165"/>
      <c r="H158" s="121"/>
      <c r="I158" s="165"/>
      <c r="J158" s="165"/>
      <c r="K158" s="164"/>
      <c r="L158" s="164"/>
      <c r="M158" s="227"/>
      <c r="N158" s="197"/>
      <c r="O158" s="197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</row>
    <row r="159" spans="1:39" outlineLevel="1">
      <c r="A159" s="100"/>
      <c r="B159" s="100"/>
      <c r="C159" s="100"/>
      <c r="D159" s="179"/>
      <c r="E159" s="165"/>
      <c r="F159" s="165"/>
      <c r="G159" s="206" t="str">
        <f>G545</f>
        <v>Airfield Runway Apron Taxi</v>
      </c>
      <c r="H159" s="121"/>
      <c r="I159" s="165"/>
      <c r="J159" s="165"/>
      <c r="K159" s="164"/>
      <c r="L159" s="164"/>
      <c r="M159" s="227"/>
      <c r="N159" s="197"/>
      <c r="O159" s="197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</row>
    <row r="160" spans="1:39" outlineLevel="1">
      <c r="A160" s="100"/>
      <c r="B160" s="100"/>
      <c r="C160" s="100"/>
      <c r="D160" s="179"/>
      <c r="E160" s="165"/>
      <c r="F160" s="165"/>
      <c r="G160" s="205"/>
      <c r="H160" s="121"/>
      <c r="I160" s="165"/>
      <c r="J160" s="165"/>
      <c r="K160" s="164"/>
      <c r="L160" s="164"/>
      <c r="M160" s="227"/>
      <c r="N160" s="197"/>
      <c r="O160" s="197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</row>
    <row r="161" spans="1:39" outlineLevel="1">
      <c r="A161" s="100"/>
      <c r="B161" s="100"/>
      <c r="C161" s="100"/>
      <c r="D161" s="179" t="str">
        <f t="shared" ref="D161:D166" si="65">$G$545</f>
        <v>Airfield Runway Apron Taxi</v>
      </c>
      <c r="E161" s="165" t="str">
        <f>H498</f>
        <v>Airfield</v>
      </c>
      <c r="F161" s="165"/>
      <c r="G161" s="165" t="s">
        <v>80</v>
      </c>
      <c r="H161" s="121"/>
      <c r="I161" s="165"/>
      <c r="J161" s="165"/>
      <c r="K161" s="164"/>
      <c r="L161" s="164"/>
      <c r="M161" s="227"/>
      <c r="N161" s="535"/>
      <c r="O161" s="197">
        <f>N166</f>
        <v>95048211.352828562</v>
      </c>
      <c r="P161" s="164">
        <f t="shared" ref="P161:X161" si="66">O166</f>
        <v>92193910.711602479</v>
      </c>
      <c r="Q161" s="164">
        <f t="shared" si="66"/>
        <v>89339610.070376396</v>
      </c>
      <c r="R161" s="164">
        <f t="shared" si="66"/>
        <v>86485309.429150313</v>
      </c>
      <c r="S161" s="164">
        <f t="shared" si="66"/>
        <v>83631008.78792423</v>
      </c>
      <c r="T161" s="164">
        <f t="shared" si="66"/>
        <v>80776708.146698147</v>
      </c>
      <c r="U161" s="164">
        <f t="shared" si="66"/>
        <v>77922407.505472064</v>
      </c>
      <c r="V161" s="164">
        <f t="shared" si="66"/>
        <v>75068106.864245981</v>
      </c>
      <c r="W161" s="164">
        <f t="shared" si="66"/>
        <v>72213806.223019898</v>
      </c>
      <c r="X161" s="164">
        <f t="shared" si="66"/>
        <v>69359505.581793815</v>
      </c>
      <c r="Y161" s="164">
        <f t="shared" ref="Y161:AM161" si="67">X166</f>
        <v>66505204.940567732</v>
      </c>
      <c r="Z161" s="164">
        <f t="shared" si="67"/>
        <v>63650904.299341649</v>
      </c>
      <c r="AA161" s="164">
        <f t="shared" si="67"/>
        <v>60796603.658115566</v>
      </c>
      <c r="AB161" s="164">
        <f t="shared" si="67"/>
        <v>57942303.016889483</v>
      </c>
      <c r="AC161" s="164">
        <f t="shared" si="67"/>
        <v>55088002.3756634</v>
      </c>
      <c r="AD161" s="164">
        <f t="shared" si="67"/>
        <v>52233701.734437317</v>
      </c>
      <c r="AE161" s="164">
        <f t="shared" si="67"/>
        <v>49379401.093211234</v>
      </c>
      <c r="AF161" s="164">
        <f t="shared" si="67"/>
        <v>46525100.451985151</v>
      </c>
      <c r="AG161" s="164">
        <f t="shared" si="67"/>
        <v>43670799.810759068</v>
      </c>
      <c r="AH161" s="164">
        <f t="shared" si="67"/>
        <v>40816499.169532984</v>
      </c>
      <c r="AI161" s="164">
        <f t="shared" si="67"/>
        <v>37962198.528306901</v>
      </c>
      <c r="AJ161" s="164">
        <f t="shared" si="67"/>
        <v>35107897.887080818</v>
      </c>
      <c r="AK161" s="164">
        <f t="shared" si="67"/>
        <v>32253597.245854735</v>
      </c>
      <c r="AL161" s="164">
        <f t="shared" si="67"/>
        <v>29399296.604628652</v>
      </c>
      <c r="AM161" s="164">
        <f t="shared" si="67"/>
        <v>26544995.963402569</v>
      </c>
    </row>
    <row r="162" spans="1:39" outlineLevel="1">
      <c r="A162" s="100"/>
      <c r="B162" s="100"/>
      <c r="C162" s="100"/>
      <c r="D162" s="179" t="str">
        <f t="shared" si="65"/>
        <v>Airfield Runway Apron Taxi</v>
      </c>
      <c r="E162" s="165" t="str">
        <f>H498</f>
        <v>Airfield</v>
      </c>
      <c r="F162" s="165"/>
      <c r="G162" s="165" t="s">
        <v>60</v>
      </c>
      <c r="H162" s="121"/>
      <c r="I162" s="165"/>
      <c r="J162" s="165"/>
      <c r="K162" s="203"/>
      <c r="L162" s="203"/>
      <c r="M162" s="202"/>
      <c r="N162" s="535"/>
      <c r="O162" s="528">
        <f>N166</f>
        <v>95048211.352828562</v>
      </c>
      <c r="P162" s="164">
        <f t="shared" ref="P162:X162" si="68">O162</f>
        <v>95048211.352828562</v>
      </c>
      <c r="Q162" s="164">
        <f t="shared" si="68"/>
        <v>95048211.352828562</v>
      </c>
      <c r="R162" s="164">
        <f t="shared" si="68"/>
        <v>95048211.352828562</v>
      </c>
      <c r="S162" s="164">
        <f t="shared" si="68"/>
        <v>95048211.352828562</v>
      </c>
      <c r="T162" s="164">
        <f t="shared" si="68"/>
        <v>95048211.352828562</v>
      </c>
      <c r="U162" s="164">
        <f t="shared" si="68"/>
        <v>95048211.352828562</v>
      </c>
      <c r="V162" s="164">
        <f t="shared" si="68"/>
        <v>95048211.352828562</v>
      </c>
      <c r="W162" s="164">
        <f t="shared" si="68"/>
        <v>95048211.352828562</v>
      </c>
      <c r="X162" s="164">
        <f t="shared" si="68"/>
        <v>95048211.352828562</v>
      </c>
      <c r="Y162" s="164">
        <f t="shared" ref="Y162:AM162" si="69">X162</f>
        <v>95048211.352828562</v>
      </c>
      <c r="Z162" s="164">
        <f t="shared" si="69"/>
        <v>95048211.352828562</v>
      </c>
      <c r="AA162" s="164">
        <f t="shared" si="69"/>
        <v>95048211.352828562</v>
      </c>
      <c r="AB162" s="164">
        <f t="shared" si="69"/>
        <v>95048211.352828562</v>
      </c>
      <c r="AC162" s="164">
        <f t="shared" si="69"/>
        <v>95048211.352828562</v>
      </c>
      <c r="AD162" s="164">
        <f t="shared" si="69"/>
        <v>95048211.352828562</v>
      </c>
      <c r="AE162" s="164">
        <f t="shared" si="69"/>
        <v>95048211.352828562</v>
      </c>
      <c r="AF162" s="164">
        <f t="shared" si="69"/>
        <v>95048211.352828562</v>
      </c>
      <c r="AG162" s="164">
        <f t="shared" si="69"/>
        <v>95048211.352828562</v>
      </c>
      <c r="AH162" s="164">
        <f t="shared" si="69"/>
        <v>95048211.352828562</v>
      </c>
      <c r="AI162" s="164">
        <f t="shared" si="69"/>
        <v>95048211.352828562</v>
      </c>
      <c r="AJ162" s="164">
        <f t="shared" si="69"/>
        <v>95048211.352828562</v>
      </c>
      <c r="AK162" s="164">
        <f t="shared" si="69"/>
        <v>95048211.352828562</v>
      </c>
      <c r="AL162" s="164">
        <f t="shared" si="69"/>
        <v>95048211.352828562</v>
      </c>
      <c r="AM162" s="164">
        <f t="shared" si="69"/>
        <v>95048211.352828562</v>
      </c>
    </row>
    <row r="163" spans="1:39" outlineLevel="1">
      <c r="A163" s="100"/>
      <c r="B163" s="100"/>
      <c r="C163" s="100"/>
      <c r="D163" s="179" t="str">
        <f t="shared" si="65"/>
        <v>Airfield Runway Apron Taxi</v>
      </c>
      <c r="E163" s="165" t="str">
        <f>H498</f>
        <v>Airfield</v>
      </c>
      <c r="F163" s="165"/>
      <c r="G163" s="165" t="s">
        <v>79</v>
      </c>
      <c r="H163" s="121"/>
      <c r="I163" s="165"/>
      <c r="J163" s="165"/>
      <c r="K163" s="203"/>
      <c r="L163" s="203"/>
      <c r="M163" s="202"/>
      <c r="N163" s="535"/>
      <c r="O163" s="197">
        <f t="shared" ref="O163:X163" si="70">N165</f>
        <v>0</v>
      </c>
      <c r="P163" s="164">
        <f t="shared" si="70"/>
        <v>2854300.641226083</v>
      </c>
      <c r="Q163" s="164">
        <f t="shared" si="70"/>
        <v>5708601.2824521661</v>
      </c>
      <c r="R163" s="164">
        <f t="shared" si="70"/>
        <v>8562901.9236782491</v>
      </c>
      <c r="S163" s="164">
        <f t="shared" si="70"/>
        <v>11417202.564904332</v>
      </c>
      <c r="T163" s="164">
        <f t="shared" si="70"/>
        <v>14271503.206130415</v>
      </c>
      <c r="U163" s="164">
        <f t="shared" si="70"/>
        <v>17125803.847356498</v>
      </c>
      <c r="V163" s="164">
        <f t="shared" si="70"/>
        <v>19980104.488582581</v>
      </c>
      <c r="W163" s="164">
        <f t="shared" si="70"/>
        <v>22834405.129808664</v>
      </c>
      <c r="X163" s="164">
        <f t="shared" si="70"/>
        <v>25688705.771034747</v>
      </c>
      <c r="Y163" s="164">
        <f t="shared" ref="Y163:AM163" si="71">X165</f>
        <v>28543006.41226083</v>
      </c>
      <c r="Z163" s="164">
        <f t="shared" si="71"/>
        <v>31397307.053486913</v>
      </c>
      <c r="AA163" s="164">
        <f t="shared" si="71"/>
        <v>34251607.694712996</v>
      </c>
      <c r="AB163" s="164">
        <f t="shared" si="71"/>
        <v>37105908.33593908</v>
      </c>
      <c r="AC163" s="164">
        <f t="shared" si="71"/>
        <v>39960208.977165163</v>
      </c>
      <c r="AD163" s="164">
        <f t="shared" si="71"/>
        <v>42814509.618391246</v>
      </c>
      <c r="AE163" s="164">
        <f t="shared" si="71"/>
        <v>45668810.259617329</v>
      </c>
      <c r="AF163" s="164">
        <f t="shared" si="71"/>
        <v>48523110.900843412</v>
      </c>
      <c r="AG163" s="164">
        <f t="shared" si="71"/>
        <v>51377411.542069495</v>
      </c>
      <c r="AH163" s="164">
        <f t="shared" si="71"/>
        <v>54231712.183295578</v>
      </c>
      <c r="AI163" s="164">
        <f t="shared" si="71"/>
        <v>57086012.824521661</v>
      </c>
      <c r="AJ163" s="164">
        <f t="shared" si="71"/>
        <v>59940313.465747744</v>
      </c>
      <c r="AK163" s="164">
        <f t="shared" si="71"/>
        <v>62794614.106973827</v>
      </c>
      <c r="AL163" s="164">
        <f t="shared" si="71"/>
        <v>65648914.74819991</v>
      </c>
      <c r="AM163" s="164">
        <f t="shared" si="71"/>
        <v>68503215.389425993</v>
      </c>
    </row>
    <row r="164" spans="1:39" outlineLevel="1">
      <c r="A164" s="100"/>
      <c r="B164" s="100"/>
      <c r="C164" s="100"/>
      <c r="D164" s="179" t="str">
        <f t="shared" si="65"/>
        <v>Airfield Runway Apron Taxi</v>
      </c>
      <c r="E164" s="165" t="str">
        <f>H498</f>
        <v>Airfield</v>
      </c>
      <c r="F164" s="165"/>
      <c r="G164" s="165" t="s">
        <v>78</v>
      </c>
      <c r="H164" s="121"/>
      <c r="I164" s="165"/>
      <c r="J164" s="165"/>
      <c r="K164" s="203"/>
      <c r="L164" s="203"/>
      <c r="M164" s="202"/>
      <c r="N164" s="535"/>
      <c r="O164" s="197">
        <f>IFERROR(MIN(O161,O162/'Asset base'!O$102),0)</f>
        <v>2854300.641226083</v>
      </c>
      <c r="P164" s="164">
        <f>IFERROR(MIN(P161,P162/'Asset base'!P$102),0)</f>
        <v>2854300.641226083</v>
      </c>
      <c r="Q164" s="164">
        <f>IFERROR(MIN(Q161,Q162/'Asset base'!Q$102),0)</f>
        <v>2854300.641226083</v>
      </c>
      <c r="R164" s="164">
        <f>IFERROR(MIN(R161,R162/'Asset base'!R$102),0)</f>
        <v>2854300.641226083</v>
      </c>
      <c r="S164" s="164">
        <f>IFERROR(MIN(S161,S162/'Asset base'!S$102),0)</f>
        <v>2854300.641226083</v>
      </c>
      <c r="T164" s="164">
        <f>IFERROR(MIN(T161,T162/'Asset base'!T$102),0)</f>
        <v>2854300.641226083</v>
      </c>
      <c r="U164" s="164">
        <f>IFERROR(MIN(U161,U162/'Asset base'!U$102),0)</f>
        <v>2854300.641226083</v>
      </c>
      <c r="V164" s="164">
        <f>IFERROR(MIN(V161,V162/'Asset base'!V$102),0)</f>
        <v>2854300.641226083</v>
      </c>
      <c r="W164" s="164">
        <f>IFERROR(MIN(W161,W162/'Asset base'!W$102),0)</f>
        <v>2854300.641226083</v>
      </c>
      <c r="X164" s="164">
        <f>IFERROR(MIN(X161,X162/'Asset base'!X$102),0)</f>
        <v>2854300.641226083</v>
      </c>
      <c r="Y164" s="164">
        <f>IFERROR(MIN(Y161,Y162/'Asset base'!Y$102),0)</f>
        <v>2854300.641226083</v>
      </c>
      <c r="Z164" s="164">
        <f>IFERROR(MIN(Z161,Z162/'Asset base'!Z$102),0)</f>
        <v>2854300.641226083</v>
      </c>
      <c r="AA164" s="164">
        <f>IFERROR(MIN(AA161,AA162/'Asset base'!AA$102),0)</f>
        <v>2854300.641226083</v>
      </c>
      <c r="AB164" s="164">
        <f>IFERROR(MIN(AB161,AB162/'Asset base'!AB$102),0)</f>
        <v>2854300.641226083</v>
      </c>
      <c r="AC164" s="164">
        <f>IFERROR(MIN(AC161,AC162/'Asset base'!AC$102),0)</f>
        <v>2854300.641226083</v>
      </c>
      <c r="AD164" s="164">
        <f>IFERROR(MIN(AD161,AD162/'Asset base'!AD$102),0)</f>
        <v>2854300.641226083</v>
      </c>
      <c r="AE164" s="164">
        <f>IFERROR(MIN(AE161,AE162/'Asset base'!AE$102),0)</f>
        <v>2854300.641226083</v>
      </c>
      <c r="AF164" s="164">
        <f>IFERROR(MIN(AF161,AF162/'Asset base'!AF$102),0)</f>
        <v>2854300.641226083</v>
      </c>
      <c r="AG164" s="164">
        <f>IFERROR(MIN(AG161,AG162/'Asset base'!AG$102),0)</f>
        <v>2854300.641226083</v>
      </c>
      <c r="AH164" s="164">
        <f>IFERROR(MIN(AH161,AH162/'Asset base'!AH$102),0)</f>
        <v>2854300.641226083</v>
      </c>
      <c r="AI164" s="164">
        <f>IFERROR(MIN(AI161,AI162/'Asset base'!AI$102),0)</f>
        <v>2854300.641226083</v>
      </c>
      <c r="AJ164" s="164">
        <f>IFERROR(MIN(AJ161,AJ162/'Asset base'!AJ$102),0)</f>
        <v>2854300.641226083</v>
      </c>
      <c r="AK164" s="164">
        <f>IFERROR(MIN(AK161,AK162/'Asset base'!AK$102),0)</f>
        <v>2854300.641226083</v>
      </c>
      <c r="AL164" s="164">
        <f>IFERROR(MIN(AL161,AL162/'Asset base'!AL$102),0)</f>
        <v>2854300.641226083</v>
      </c>
      <c r="AM164" s="164">
        <f>IFERROR(MIN(AM161,AM162/'Asset base'!AM$102),0)</f>
        <v>2854300.641226083</v>
      </c>
    </row>
    <row r="165" spans="1:39" outlineLevel="1">
      <c r="A165" s="100"/>
      <c r="B165" s="100"/>
      <c r="C165" s="100"/>
      <c r="D165" s="179" t="str">
        <f t="shared" si="65"/>
        <v>Airfield Runway Apron Taxi</v>
      </c>
      <c r="E165" s="165" t="str">
        <f>H498</f>
        <v>Airfield</v>
      </c>
      <c r="F165" s="165"/>
      <c r="G165" s="165" t="s">
        <v>77</v>
      </c>
      <c r="H165" s="121"/>
      <c r="I165" s="165"/>
      <c r="J165" s="165"/>
      <c r="K165" s="302"/>
      <c r="L165" s="302"/>
      <c r="M165" s="315"/>
      <c r="N165" s="535"/>
      <c r="O165" s="197">
        <f t="shared" ref="O165:X165" si="72">SUM(O163:O164)</f>
        <v>2854300.641226083</v>
      </c>
      <c r="P165" s="164">
        <f t="shared" si="72"/>
        <v>5708601.2824521661</v>
      </c>
      <c r="Q165" s="164">
        <f t="shared" si="72"/>
        <v>8562901.9236782491</v>
      </c>
      <c r="R165" s="164">
        <f t="shared" si="72"/>
        <v>11417202.564904332</v>
      </c>
      <c r="S165" s="164">
        <f t="shared" si="72"/>
        <v>14271503.206130415</v>
      </c>
      <c r="T165" s="164">
        <f t="shared" si="72"/>
        <v>17125803.847356498</v>
      </c>
      <c r="U165" s="164">
        <f t="shared" si="72"/>
        <v>19980104.488582581</v>
      </c>
      <c r="V165" s="164">
        <f t="shared" si="72"/>
        <v>22834405.129808664</v>
      </c>
      <c r="W165" s="164">
        <f t="shared" si="72"/>
        <v>25688705.771034747</v>
      </c>
      <c r="X165" s="164">
        <f t="shared" si="72"/>
        <v>28543006.41226083</v>
      </c>
      <c r="Y165" s="164">
        <f>SUM(Y163:Y164)</f>
        <v>31397307.053486913</v>
      </c>
      <c r="Z165" s="164">
        <f t="shared" ref="Z165:AM165" si="73">SUM(Z163:Z164)</f>
        <v>34251607.694712996</v>
      </c>
      <c r="AA165" s="164">
        <f t="shared" si="73"/>
        <v>37105908.33593908</v>
      </c>
      <c r="AB165" s="164">
        <f t="shared" si="73"/>
        <v>39960208.977165163</v>
      </c>
      <c r="AC165" s="164">
        <f t="shared" si="73"/>
        <v>42814509.618391246</v>
      </c>
      <c r="AD165" s="164">
        <f t="shared" si="73"/>
        <v>45668810.259617329</v>
      </c>
      <c r="AE165" s="164">
        <f t="shared" si="73"/>
        <v>48523110.900843412</v>
      </c>
      <c r="AF165" s="164">
        <f t="shared" si="73"/>
        <v>51377411.542069495</v>
      </c>
      <c r="AG165" s="164">
        <f t="shared" si="73"/>
        <v>54231712.183295578</v>
      </c>
      <c r="AH165" s="164">
        <f t="shared" si="73"/>
        <v>57086012.824521661</v>
      </c>
      <c r="AI165" s="164">
        <f t="shared" si="73"/>
        <v>59940313.465747744</v>
      </c>
      <c r="AJ165" s="164">
        <f t="shared" si="73"/>
        <v>62794614.106973827</v>
      </c>
      <c r="AK165" s="164">
        <f t="shared" si="73"/>
        <v>65648914.74819991</v>
      </c>
      <c r="AL165" s="164">
        <f t="shared" si="73"/>
        <v>68503215.389425993</v>
      </c>
      <c r="AM165" s="164">
        <f t="shared" si="73"/>
        <v>71357516.030652076</v>
      </c>
    </row>
    <row r="166" spans="1:39" outlineLevel="1">
      <c r="A166" s="100"/>
      <c r="B166" s="100"/>
      <c r="C166" s="100"/>
      <c r="D166" s="179" t="str">
        <f t="shared" si="65"/>
        <v>Airfield Runway Apron Taxi</v>
      </c>
      <c r="E166" s="165" t="str">
        <f>H498</f>
        <v>Airfield</v>
      </c>
      <c r="F166" s="165"/>
      <c r="G166" s="200" t="s">
        <v>76</v>
      </c>
      <c r="H166" s="201"/>
      <c r="I166" s="200"/>
      <c r="J166" s="200"/>
      <c r="K166" s="164">
        <f t="shared" ref="K166:S166" si="74">K162-K165</f>
        <v>0</v>
      </c>
      <c r="L166" s="164">
        <f t="shared" si="74"/>
        <v>0</v>
      </c>
      <c r="M166" s="227">
        <f>N161</f>
        <v>0</v>
      </c>
      <c r="N166" s="541">
        <f>'[7]2008-2012 Asset Mov''t Revised'!$R$80</f>
        <v>95048211.352828562</v>
      </c>
      <c r="O166" s="199">
        <f t="shared" si="74"/>
        <v>92193910.711602479</v>
      </c>
      <c r="P166" s="198">
        <f t="shared" si="74"/>
        <v>89339610.070376396</v>
      </c>
      <c r="Q166" s="198">
        <f t="shared" si="74"/>
        <v>86485309.429150313</v>
      </c>
      <c r="R166" s="198">
        <f t="shared" si="74"/>
        <v>83631008.78792423</v>
      </c>
      <c r="S166" s="198">
        <f t="shared" si="74"/>
        <v>80776708.146698147</v>
      </c>
      <c r="T166" s="198">
        <f t="shared" ref="T166:AM166" si="75">T162-T165</f>
        <v>77922407.505472064</v>
      </c>
      <c r="U166" s="198">
        <f t="shared" si="75"/>
        <v>75068106.864245981</v>
      </c>
      <c r="V166" s="198">
        <f t="shared" si="75"/>
        <v>72213806.223019898</v>
      </c>
      <c r="W166" s="198">
        <f t="shared" si="75"/>
        <v>69359505.581793815</v>
      </c>
      <c r="X166" s="198">
        <f t="shared" si="75"/>
        <v>66505204.940567732</v>
      </c>
      <c r="Y166" s="198">
        <f t="shared" si="75"/>
        <v>63650904.299341649</v>
      </c>
      <c r="Z166" s="198">
        <f t="shared" si="75"/>
        <v>60796603.658115566</v>
      </c>
      <c r="AA166" s="198">
        <f t="shared" si="75"/>
        <v>57942303.016889483</v>
      </c>
      <c r="AB166" s="198">
        <f t="shared" si="75"/>
        <v>55088002.3756634</v>
      </c>
      <c r="AC166" s="198">
        <f t="shared" si="75"/>
        <v>52233701.734437317</v>
      </c>
      <c r="AD166" s="198">
        <f t="shared" si="75"/>
        <v>49379401.093211234</v>
      </c>
      <c r="AE166" s="198">
        <f t="shared" si="75"/>
        <v>46525100.451985151</v>
      </c>
      <c r="AF166" s="198">
        <f t="shared" si="75"/>
        <v>43670799.810759068</v>
      </c>
      <c r="AG166" s="198">
        <f t="shared" si="75"/>
        <v>40816499.169532984</v>
      </c>
      <c r="AH166" s="198">
        <f t="shared" si="75"/>
        <v>37962198.528306901</v>
      </c>
      <c r="AI166" s="198">
        <f t="shared" si="75"/>
        <v>35107897.887080818</v>
      </c>
      <c r="AJ166" s="198">
        <f t="shared" si="75"/>
        <v>32253597.245854735</v>
      </c>
      <c r="AK166" s="198">
        <f t="shared" si="75"/>
        <v>29399296.604628652</v>
      </c>
      <c r="AL166" s="198">
        <f t="shared" si="75"/>
        <v>26544995.963402569</v>
      </c>
      <c r="AM166" s="198">
        <f t="shared" si="75"/>
        <v>23690695.322176486</v>
      </c>
    </row>
    <row r="167" spans="1:39" outlineLevel="1">
      <c r="A167" s="100"/>
      <c r="B167" s="100"/>
      <c r="C167" s="100"/>
      <c r="D167" s="179"/>
      <c r="E167" s="165"/>
      <c r="F167" s="165"/>
      <c r="G167" s="165"/>
      <c r="H167" s="121"/>
      <c r="I167" s="165"/>
      <c r="J167" s="165"/>
      <c r="K167" s="164"/>
      <c r="L167" s="164"/>
      <c r="M167" s="227"/>
      <c r="N167" s="197"/>
      <c r="O167" s="197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  <c r="AG167" s="164"/>
      <c r="AH167" s="164"/>
      <c r="AI167" s="164"/>
      <c r="AJ167" s="164"/>
      <c r="AK167" s="164"/>
      <c r="AL167" s="164"/>
      <c r="AM167" s="164"/>
    </row>
    <row r="168" spans="1:39" outlineLevel="1">
      <c r="A168" s="100"/>
      <c r="B168" s="100"/>
      <c r="C168" s="100"/>
      <c r="D168" s="179"/>
      <c r="E168" s="165"/>
      <c r="F168" s="165"/>
      <c r="G168" s="206" t="str">
        <f>G554</f>
        <v>Infrastructure</v>
      </c>
      <c r="H168" s="121"/>
      <c r="I168" s="165"/>
      <c r="J168" s="165"/>
      <c r="K168" s="164"/>
      <c r="L168" s="164"/>
      <c r="M168" s="227"/>
      <c r="N168" s="197"/>
      <c r="O168" s="197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</row>
    <row r="169" spans="1:39" outlineLevel="1">
      <c r="A169" s="100"/>
      <c r="B169" s="100"/>
      <c r="C169" s="100"/>
      <c r="D169" s="179"/>
      <c r="E169" s="165"/>
      <c r="F169" s="165"/>
      <c r="G169" s="205"/>
      <c r="H169" s="121"/>
      <c r="I169" s="165"/>
      <c r="J169" s="165"/>
      <c r="K169" s="164"/>
      <c r="L169" s="164"/>
      <c r="M169" s="227"/>
      <c r="N169" s="197"/>
      <c r="O169" s="197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</row>
    <row r="170" spans="1:39" outlineLevel="1">
      <c r="A170" s="100"/>
      <c r="B170" s="100"/>
      <c r="C170" s="100"/>
      <c r="D170" s="179" t="str">
        <f t="shared" ref="D170:D175" si="76">$G$554</f>
        <v>Infrastructure</v>
      </c>
      <c r="E170" s="165" t="str">
        <f>H498</f>
        <v>Airfield</v>
      </c>
      <c r="F170" s="165"/>
      <c r="G170" s="165" t="s">
        <v>80</v>
      </c>
      <c r="H170" s="121"/>
      <c r="I170" s="165"/>
      <c r="J170" s="165"/>
      <c r="K170" s="164"/>
      <c r="L170" s="164"/>
      <c r="M170" s="227"/>
      <c r="N170" s="535"/>
      <c r="O170" s="197">
        <f>N175</f>
        <v>7983090.97578853</v>
      </c>
      <c r="P170" s="164">
        <f t="shared" ref="P170:X170" si="77">O175</f>
        <v>7184781.8782096766</v>
      </c>
      <c r="Q170" s="164">
        <f t="shared" si="77"/>
        <v>6386472.7806308242</v>
      </c>
      <c r="R170" s="164">
        <f t="shared" si="77"/>
        <v>5588163.6830519708</v>
      </c>
      <c r="S170" s="164">
        <f t="shared" si="77"/>
        <v>4789854.5854731183</v>
      </c>
      <c r="T170" s="164">
        <f t="shared" si="77"/>
        <v>3991545.487894265</v>
      </c>
      <c r="U170" s="164">
        <f t="shared" si="77"/>
        <v>3193236.3903154116</v>
      </c>
      <c r="V170" s="164">
        <f t="shared" si="77"/>
        <v>2394927.2927365582</v>
      </c>
      <c r="W170" s="164">
        <f t="shared" si="77"/>
        <v>1596618.1951577049</v>
      </c>
      <c r="X170" s="164">
        <f t="shared" si="77"/>
        <v>798309.09757885151</v>
      </c>
      <c r="Y170" s="164">
        <f t="shared" ref="Y170:AM170" si="78">X175</f>
        <v>0</v>
      </c>
      <c r="Z170" s="164">
        <f t="shared" si="78"/>
        <v>0</v>
      </c>
      <c r="AA170" s="164">
        <f t="shared" si="78"/>
        <v>0</v>
      </c>
      <c r="AB170" s="164">
        <f t="shared" si="78"/>
        <v>0</v>
      </c>
      <c r="AC170" s="164">
        <f t="shared" si="78"/>
        <v>0</v>
      </c>
      <c r="AD170" s="164">
        <f t="shared" si="78"/>
        <v>0</v>
      </c>
      <c r="AE170" s="164">
        <f t="shared" si="78"/>
        <v>0</v>
      </c>
      <c r="AF170" s="164">
        <f t="shared" si="78"/>
        <v>0</v>
      </c>
      <c r="AG170" s="164">
        <f t="shared" si="78"/>
        <v>0</v>
      </c>
      <c r="AH170" s="164">
        <f t="shared" si="78"/>
        <v>0</v>
      </c>
      <c r="AI170" s="164">
        <f t="shared" si="78"/>
        <v>0</v>
      </c>
      <c r="AJ170" s="164">
        <f t="shared" si="78"/>
        <v>0</v>
      </c>
      <c r="AK170" s="164">
        <f t="shared" si="78"/>
        <v>0</v>
      </c>
      <c r="AL170" s="164">
        <f t="shared" si="78"/>
        <v>0</v>
      </c>
      <c r="AM170" s="164">
        <f t="shared" si="78"/>
        <v>0</v>
      </c>
    </row>
    <row r="171" spans="1:39" outlineLevel="1">
      <c r="A171" s="100"/>
      <c r="B171" s="100"/>
      <c r="C171" s="100"/>
      <c r="D171" s="179" t="str">
        <f t="shared" si="76"/>
        <v>Infrastructure</v>
      </c>
      <c r="E171" s="165" t="str">
        <f>H498</f>
        <v>Airfield</v>
      </c>
      <c r="F171" s="165"/>
      <c r="G171" s="165" t="s">
        <v>60</v>
      </c>
      <c r="H171" s="121"/>
      <c r="I171" s="165"/>
      <c r="J171" s="165"/>
      <c r="K171" s="203"/>
      <c r="L171" s="203"/>
      <c r="M171" s="202"/>
      <c r="N171" s="535"/>
      <c r="O171" s="528">
        <f>N175</f>
        <v>7983090.97578853</v>
      </c>
      <c r="P171" s="164">
        <f t="shared" ref="P171:X171" si="79">O171</f>
        <v>7983090.97578853</v>
      </c>
      <c r="Q171" s="164">
        <f t="shared" si="79"/>
        <v>7983090.97578853</v>
      </c>
      <c r="R171" s="164">
        <f t="shared" si="79"/>
        <v>7983090.97578853</v>
      </c>
      <c r="S171" s="164">
        <f t="shared" si="79"/>
        <v>7983090.97578853</v>
      </c>
      <c r="T171" s="164">
        <f t="shared" si="79"/>
        <v>7983090.97578853</v>
      </c>
      <c r="U171" s="164">
        <f t="shared" si="79"/>
        <v>7983090.97578853</v>
      </c>
      <c r="V171" s="164">
        <f t="shared" si="79"/>
        <v>7983090.97578853</v>
      </c>
      <c r="W171" s="164">
        <f t="shared" si="79"/>
        <v>7983090.97578853</v>
      </c>
      <c r="X171" s="164">
        <f t="shared" si="79"/>
        <v>7983090.97578853</v>
      </c>
      <c r="Y171" s="164">
        <f t="shared" ref="Y171:AM171" si="80">X171</f>
        <v>7983090.97578853</v>
      </c>
      <c r="Z171" s="164">
        <f t="shared" si="80"/>
        <v>7983090.97578853</v>
      </c>
      <c r="AA171" s="164">
        <f t="shared" si="80"/>
        <v>7983090.97578853</v>
      </c>
      <c r="AB171" s="164">
        <f t="shared" si="80"/>
        <v>7983090.97578853</v>
      </c>
      <c r="AC171" s="164">
        <f t="shared" si="80"/>
        <v>7983090.97578853</v>
      </c>
      <c r="AD171" s="164">
        <f t="shared" si="80"/>
        <v>7983090.97578853</v>
      </c>
      <c r="AE171" s="164">
        <f t="shared" si="80"/>
        <v>7983090.97578853</v>
      </c>
      <c r="AF171" s="164">
        <f t="shared" si="80"/>
        <v>7983090.97578853</v>
      </c>
      <c r="AG171" s="164">
        <f t="shared" si="80"/>
        <v>7983090.97578853</v>
      </c>
      <c r="AH171" s="164">
        <f t="shared" si="80"/>
        <v>7983090.97578853</v>
      </c>
      <c r="AI171" s="164">
        <f t="shared" si="80"/>
        <v>7983090.97578853</v>
      </c>
      <c r="AJ171" s="164">
        <f t="shared" si="80"/>
        <v>7983090.97578853</v>
      </c>
      <c r="AK171" s="164">
        <f t="shared" si="80"/>
        <v>7983090.97578853</v>
      </c>
      <c r="AL171" s="164">
        <f t="shared" si="80"/>
        <v>7983090.97578853</v>
      </c>
      <c r="AM171" s="164">
        <f t="shared" si="80"/>
        <v>7983090.97578853</v>
      </c>
    </row>
    <row r="172" spans="1:39" outlineLevel="1">
      <c r="A172" s="100"/>
      <c r="B172" s="100"/>
      <c r="C172" s="100"/>
      <c r="D172" s="179" t="str">
        <f t="shared" si="76"/>
        <v>Infrastructure</v>
      </c>
      <c r="E172" s="165" t="str">
        <f>H498</f>
        <v>Airfield</v>
      </c>
      <c r="F172" s="165"/>
      <c r="G172" s="165" t="s">
        <v>79</v>
      </c>
      <c r="H172" s="121"/>
      <c r="I172" s="165"/>
      <c r="J172" s="165"/>
      <c r="K172" s="203"/>
      <c r="L172" s="203"/>
      <c r="M172" s="202"/>
      <c r="N172" s="535"/>
      <c r="O172" s="197">
        <f t="shared" ref="O172:X172" si="81">N174</f>
        <v>0</v>
      </c>
      <c r="P172" s="164">
        <f t="shared" si="81"/>
        <v>798309.09757885302</v>
      </c>
      <c r="Q172" s="164">
        <f t="shared" si="81"/>
        <v>1596618.195157706</v>
      </c>
      <c r="R172" s="164">
        <f t="shared" si="81"/>
        <v>2394927.2927365592</v>
      </c>
      <c r="S172" s="164">
        <f t="shared" si="81"/>
        <v>3193236.3903154121</v>
      </c>
      <c r="T172" s="164">
        <f t="shared" si="81"/>
        <v>3991545.487894265</v>
      </c>
      <c r="U172" s="164">
        <f t="shared" si="81"/>
        <v>4789854.5854731183</v>
      </c>
      <c r="V172" s="164">
        <f t="shared" si="81"/>
        <v>5588163.6830519717</v>
      </c>
      <c r="W172" s="164">
        <f t="shared" si="81"/>
        <v>6386472.7806308251</v>
      </c>
      <c r="X172" s="164">
        <f t="shared" si="81"/>
        <v>7184781.8782096785</v>
      </c>
      <c r="Y172" s="164">
        <f t="shared" ref="Y172:AM172" si="82">X174</f>
        <v>7983090.97578853</v>
      </c>
      <c r="Z172" s="164">
        <f t="shared" si="82"/>
        <v>7983090.97578853</v>
      </c>
      <c r="AA172" s="164">
        <f t="shared" si="82"/>
        <v>7983090.97578853</v>
      </c>
      <c r="AB172" s="164">
        <f t="shared" si="82"/>
        <v>7983090.97578853</v>
      </c>
      <c r="AC172" s="164">
        <f t="shared" si="82"/>
        <v>7983090.97578853</v>
      </c>
      <c r="AD172" s="164">
        <f t="shared" si="82"/>
        <v>7983090.97578853</v>
      </c>
      <c r="AE172" s="164">
        <f t="shared" si="82"/>
        <v>7983090.97578853</v>
      </c>
      <c r="AF172" s="164">
        <f t="shared" si="82"/>
        <v>7983090.97578853</v>
      </c>
      <c r="AG172" s="164">
        <f t="shared" si="82"/>
        <v>7983090.97578853</v>
      </c>
      <c r="AH172" s="164">
        <f t="shared" si="82"/>
        <v>7983090.97578853</v>
      </c>
      <c r="AI172" s="164">
        <f t="shared" si="82"/>
        <v>7983090.97578853</v>
      </c>
      <c r="AJ172" s="164">
        <f t="shared" si="82"/>
        <v>7983090.97578853</v>
      </c>
      <c r="AK172" s="164">
        <f t="shared" si="82"/>
        <v>7983090.97578853</v>
      </c>
      <c r="AL172" s="164">
        <f t="shared" si="82"/>
        <v>7983090.97578853</v>
      </c>
      <c r="AM172" s="164">
        <f t="shared" si="82"/>
        <v>7983090.97578853</v>
      </c>
    </row>
    <row r="173" spans="1:39" outlineLevel="1">
      <c r="A173" s="100"/>
      <c r="B173" s="100"/>
      <c r="C173" s="100"/>
      <c r="D173" s="179" t="str">
        <f t="shared" si="76"/>
        <v>Infrastructure</v>
      </c>
      <c r="E173" s="165" t="str">
        <f>H498</f>
        <v>Airfield</v>
      </c>
      <c r="F173" s="165"/>
      <c r="G173" s="165" t="s">
        <v>78</v>
      </c>
      <c r="H173" s="121"/>
      <c r="I173" s="165"/>
      <c r="J173" s="165"/>
      <c r="K173" s="203"/>
      <c r="L173" s="203"/>
      <c r="M173" s="202"/>
      <c r="N173" s="535"/>
      <c r="O173" s="197">
        <f>IFERROR(MIN(O170,O171/'Asset base'!O$103),0)</f>
        <v>798309.09757885302</v>
      </c>
      <c r="P173" s="164">
        <f>IFERROR(MIN(P170,P171/'Asset base'!P$103),0)</f>
        <v>798309.09757885302</v>
      </c>
      <c r="Q173" s="164">
        <f>IFERROR(MIN(Q170,Q171/'Asset base'!Q$103),0)</f>
        <v>798309.09757885302</v>
      </c>
      <c r="R173" s="164">
        <f>IFERROR(MIN(R170,R171/'Asset base'!R$103),0)</f>
        <v>798309.09757885302</v>
      </c>
      <c r="S173" s="164">
        <f>IFERROR(MIN(S170,S171/'Asset base'!S$103),0)</f>
        <v>798309.09757885302</v>
      </c>
      <c r="T173" s="164">
        <f>IFERROR(MIN(T170,T171/'Asset base'!T$103),0)</f>
        <v>798309.09757885302</v>
      </c>
      <c r="U173" s="164">
        <f>IFERROR(MIN(U170,U171/'Asset base'!U$103),0)</f>
        <v>798309.09757885302</v>
      </c>
      <c r="V173" s="164">
        <f>IFERROR(MIN(V170,V171/'Asset base'!V$103),0)</f>
        <v>798309.09757885302</v>
      </c>
      <c r="W173" s="164">
        <f>IFERROR(MIN(W170,W171/'Asset base'!W$103),0)</f>
        <v>798309.09757885302</v>
      </c>
      <c r="X173" s="164">
        <f>IFERROR(MIN(X170,X171/'Asset base'!X$103),0)</f>
        <v>798309.09757885151</v>
      </c>
      <c r="Y173" s="164">
        <f>IFERROR(MIN(Y170,Y171/'Asset base'!Y$103),0)</f>
        <v>0</v>
      </c>
      <c r="Z173" s="164">
        <f>IFERROR(MIN(Z170,Z171/'Asset base'!Z$103),0)</f>
        <v>0</v>
      </c>
      <c r="AA173" s="164">
        <f>IFERROR(MIN(AA170,AA171/'Asset base'!AA$103),0)</f>
        <v>0</v>
      </c>
      <c r="AB173" s="164">
        <f>IFERROR(MIN(AB170,AB171/'Asset base'!AB$103),0)</f>
        <v>0</v>
      </c>
      <c r="AC173" s="164">
        <f>IFERROR(MIN(AC170,AC171/'Asset base'!AC$103),0)</f>
        <v>0</v>
      </c>
      <c r="AD173" s="164">
        <f>IFERROR(MIN(AD170,AD171/'Asset base'!AD$103),0)</f>
        <v>0</v>
      </c>
      <c r="AE173" s="164">
        <f>IFERROR(MIN(AE170,AE171/'Asset base'!AE$103),0)</f>
        <v>0</v>
      </c>
      <c r="AF173" s="164">
        <f>IFERROR(MIN(AF170,AF171/'Asset base'!AF$103),0)</f>
        <v>0</v>
      </c>
      <c r="AG173" s="164">
        <f>IFERROR(MIN(AG170,AG171/'Asset base'!AG$103),0)</f>
        <v>0</v>
      </c>
      <c r="AH173" s="164">
        <f>IFERROR(MIN(AH170,AH171/'Asset base'!AH$103),0)</f>
        <v>0</v>
      </c>
      <c r="AI173" s="164">
        <f>IFERROR(MIN(AI170,AI171/'Asset base'!AI$103),0)</f>
        <v>0</v>
      </c>
      <c r="AJ173" s="164">
        <f>IFERROR(MIN(AJ170,AJ171/'Asset base'!AJ$103),0)</f>
        <v>0</v>
      </c>
      <c r="AK173" s="164">
        <f>IFERROR(MIN(AK170,AK171/'Asset base'!AK$103),0)</f>
        <v>0</v>
      </c>
      <c r="AL173" s="164">
        <f>IFERROR(MIN(AL170,AL171/'Asset base'!AL$103),0)</f>
        <v>0</v>
      </c>
      <c r="AM173" s="164">
        <f>IFERROR(MIN(AM170,AM171/'Asset base'!AM$103),0)</f>
        <v>0</v>
      </c>
    </row>
    <row r="174" spans="1:39" outlineLevel="1">
      <c r="A174" s="100"/>
      <c r="B174" s="100"/>
      <c r="C174" s="100"/>
      <c r="D174" s="179" t="str">
        <f t="shared" si="76"/>
        <v>Infrastructure</v>
      </c>
      <c r="E174" s="165" t="str">
        <f>H498</f>
        <v>Airfield</v>
      </c>
      <c r="F174" s="165"/>
      <c r="G174" s="165" t="s">
        <v>77</v>
      </c>
      <c r="H174" s="121"/>
      <c r="I174" s="165"/>
      <c r="J174" s="165"/>
      <c r="K174" s="302"/>
      <c r="L174" s="302"/>
      <c r="M174" s="315"/>
      <c r="N174" s="535"/>
      <c r="O174" s="197">
        <f t="shared" ref="O174:X174" si="83">SUM(O172:O173)</f>
        <v>798309.09757885302</v>
      </c>
      <c r="P174" s="164">
        <f t="shared" si="83"/>
        <v>1596618.195157706</v>
      </c>
      <c r="Q174" s="164">
        <f t="shared" si="83"/>
        <v>2394927.2927365592</v>
      </c>
      <c r="R174" s="164">
        <f t="shared" si="83"/>
        <v>3193236.3903154121</v>
      </c>
      <c r="S174" s="164">
        <f t="shared" si="83"/>
        <v>3991545.487894265</v>
      </c>
      <c r="T174" s="164">
        <f t="shared" si="83"/>
        <v>4789854.5854731183</v>
      </c>
      <c r="U174" s="164">
        <f t="shared" si="83"/>
        <v>5588163.6830519717</v>
      </c>
      <c r="V174" s="164">
        <f t="shared" si="83"/>
        <v>6386472.7806308251</v>
      </c>
      <c r="W174" s="164">
        <f t="shared" si="83"/>
        <v>7184781.8782096785</v>
      </c>
      <c r="X174" s="164">
        <f t="shared" si="83"/>
        <v>7983090.97578853</v>
      </c>
      <c r="Y174" s="164">
        <f>SUM(Y172:Y173)</f>
        <v>7983090.97578853</v>
      </c>
      <c r="Z174" s="164">
        <f t="shared" ref="Z174:AM174" si="84">SUM(Z172:Z173)</f>
        <v>7983090.97578853</v>
      </c>
      <c r="AA174" s="164">
        <f t="shared" si="84"/>
        <v>7983090.97578853</v>
      </c>
      <c r="AB174" s="164">
        <f t="shared" si="84"/>
        <v>7983090.97578853</v>
      </c>
      <c r="AC174" s="164">
        <f t="shared" si="84"/>
        <v>7983090.97578853</v>
      </c>
      <c r="AD174" s="164">
        <f t="shared" si="84"/>
        <v>7983090.97578853</v>
      </c>
      <c r="AE174" s="164">
        <f t="shared" si="84"/>
        <v>7983090.97578853</v>
      </c>
      <c r="AF174" s="164">
        <f t="shared" si="84"/>
        <v>7983090.97578853</v>
      </c>
      <c r="AG174" s="164">
        <f t="shared" si="84"/>
        <v>7983090.97578853</v>
      </c>
      <c r="AH174" s="164">
        <f t="shared" si="84"/>
        <v>7983090.97578853</v>
      </c>
      <c r="AI174" s="164">
        <f t="shared" si="84"/>
        <v>7983090.97578853</v>
      </c>
      <c r="AJ174" s="164">
        <f t="shared" si="84"/>
        <v>7983090.97578853</v>
      </c>
      <c r="AK174" s="164">
        <f t="shared" si="84"/>
        <v>7983090.97578853</v>
      </c>
      <c r="AL174" s="164">
        <f t="shared" si="84"/>
        <v>7983090.97578853</v>
      </c>
      <c r="AM174" s="164">
        <f t="shared" si="84"/>
        <v>7983090.97578853</v>
      </c>
    </row>
    <row r="175" spans="1:39" outlineLevel="1">
      <c r="A175" s="100"/>
      <c r="B175" s="100"/>
      <c r="C175" s="100"/>
      <c r="D175" s="179" t="str">
        <f t="shared" si="76"/>
        <v>Infrastructure</v>
      </c>
      <c r="E175" s="165" t="str">
        <f>H498</f>
        <v>Airfield</v>
      </c>
      <c r="F175" s="165"/>
      <c r="G175" s="200" t="s">
        <v>76</v>
      </c>
      <c r="H175" s="201"/>
      <c r="I175" s="200"/>
      <c r="J175" s="200"/>
      <c r="K175" s="164">
        <f t="shared" ref="K175:S175" si="85">K171-K174</f>
        <v>0</v>
      </c>
      <c r="L175" s="164">
        <f t="shared" si="85"/>
        <v>0</v>
      </c>
      <c r="M175" s="227">
        <f>N170</f>
        <v>0</v>
      </c>
      <c r="N175" s="541">
        <f>'[7]2008-2012 Asset Mov''t Revised'!$R$81</f>
        <v>7983090.97578853</v>
      </c>
      <c r="O175" s="199">
        <f t="shared" si="85"/>
        <v>7184781.8782096766</v>
      </c>
      <c r="P175" s="198">
        <f t="shared" si="85"/>
        <v>6386472.7806308242</v>
      </c>
      <c r="Q175" s="198">
        <f t="shared" si="85"/>
        <v>5588163.6830519708</v>
      </c>
      <c r="R175" s="198">
        <f t="shared" si="85"/>
        <v>4789854.5854731183</v>
      </c>
      <c r="S175" s="198">
        <f t="shared" si="85"/>
        <v>3991545.487894265</v>
      </c>
      <c r="T175" s="198">
        <f t="shared" ref="T175:AM175" si="86">T171-T174</f>
        <v>3193236.3903154116</v>
      </c>
      <c r="U175" s="198">
        <f t="shared" si="86"/>
        <v>2394927.2927365582</v>
      </c>
      <c r="V175" s="198">
        <f t="shared" si="86"/>
        <v>1596618.1951577049</v>
      </c>
      <c r="W175" s="198">
        <f t="shared" si="86"/>
        <v>798309.09757885151</v>
      </c>
      <c r="X175" s="198">
        <f t="shared" si="86"/>
        <v>0</v>
      </c>
      <c r="Y175" s="198">
        <f t="shared" si="86"/>
        <v>0</v>
      </c>
      <c r="Z175" s="198">
        <f t="shared" si="86"/>
        <v>0</v>
      </c>
      <c r="AA175" s="198">
        <f t="shared" si="86"/>
        <v>0</v>
      </c>
      <c r="AB175" s="198">
        <f t="shared" si="86"/>
        <v>0</v>
      </c>
      <c r="AC175" s="198">
        <f t="shared" si="86"/>
        <v>0</v>
      </c>
      <c r="AD175" s="198">
        <f t="shared" si="86"/>
        <v>0</v>
      </c>
      <c r="AE175" s="198">
        <f t="shared" si="86"/>
        <v>0</v>
      </c>
      <c r="AF175" s="198">
        <f t="shared" si="86"/>
        <v>0</v>
      </c>
      <c r="AG175" s="198">
        <f t="shared" si="86"/>
        <v>0</v>
      </c>
      <c r="AH175" s="198">
        <f t="shared" si="86"/>
        <v>0</v>
      </c>
      <c r="AI175" s="198">
        <f t="shared" si="86"/>
        <v>0</v>
      </c>
      <c r="AJ175" s="198">
        <f t="shared" si="86"/>
        <v>0</v>
      </c>
      <c r="AK175" s="198">
        <f t="shared" si="86"/>
        <v>0</v>
      </c>
      <c r="AL175" s="198">
        <f t="shared" si="86"/>
        <v>0</v>
      </c>
      <c r="AM175" s="198">
        <f t="shared" si="86"/>
        <v>0</v>
      </c>
    </row>
    <row r="176" spans="1:39" outlineLevel="1">
      <c r="A176" s="100"/>
      <c r="B176" s="100"/>
      <c r="C176" s="100"/>
      <c r="D176" s="179"/>
      <c r="E176" s="165"/>
      <c r="F176" s="165"/>
      <c r="G176" s="165"/>
      <c r="H176" s="121"/>
      <c r="I176" s="165"/>
      <c r="J176" s="165"/>
      <c r="K176" s="164"/>
      <c r="L176" s="164"/>
      <c r="M176" s="227"/>
      <c r="N176" s="197"/>
      <c r="O176" s="197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</row>
    <row r="177" spans="1:39" outlineLevel="1">
      <c r="A177" s="100"/>
      <c r="B177" s="100"/>
      <c r="C177" s="100"/>
      <c r="D177" s="179"/>
      <c r="E177" s="165"/>
      <c r="F177" s="165"/>
      <c r="G177" s="206" t="str">
        <f>G563</f>
        <v>Terminal facilities</v>
      </c>
      <c r="H177" s="121"/>
      <c r="I177" s="165"/>
      <c r="J177" s="165"/>
      <c r="K177" s="164"/>
      <c r="L177" s="164"/>
      <c r="M177" s="227"/>
      <c r="N177" s="197"/>
      <c r="O177" s="197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</row>
    <row r="178" spans="1:39" outlineLevel="1">
      <c r="A178" s="100"/>
      <c r="B178" s="100"/>
      <c r="C178" s="100"/>
      <c r="D178" s="179"/>
      <c r="E178" s="165"/>
      <c r="F178" s="165"/>
      <c r="G178" s="205"/>
      <c r="H178" s="121"/>
      <c r="I178" s="165"/>
      <c r="J178" s="165"/>
      <c r="K178" s="164"/>
      <c r="L178" s="164"/>
      <c r="M178" s="227"/>
      <c r="N178" s="197"/>
      <c r="O178" s="197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</row>
    <row r="179" spans="1:39" outlineLevel="1">
      <c r="A179" s="100"/>
      <c r="B179" s="100"/>
      <c r="C179" s="100"/>
      <c r="D179" s="179" t="str">
        <f t="shared" ref="D179:D184" si="87">$G$563</f>
        <v>Terminal facilities</v>
      </c>
      <c r="E179" s="165" t="str">
        <f>H498</f>
        <v>Airfield</v>
      </c>
      <c r="F179" s="165"/>
      <c r="G179" s="165" t="s">
        <v>80</v>
      </c>
      <c r="H179" s="121"/>
      <c r="I179" s="165"/>
      <c r="J179" s="165"/>
      <c r="K179" s="164"/>
      <c r="L179" s="164"/>
      <c r="M179" s="227"/>
      <c r="N179" s="535">
        <f>[2]OUTPUT!N219</f>
        <v>0</v>
      </c>
      <c r="O179" s="197">
        <f>N184</f>
        <v>0</v>
      </c>
      <c r="P179" s="164">
        <f t="shared" ref="P179:X179" si="88">O184</f>
        <v>0</v>
      </c>
      <c r="Q179" s="164">
        <f t="shared" si="88"/>
        <v>0</v>
      </c>
      <c r="R179" s="164">
        <f t="shared" si="88"/>
        <v>0</v>
      </c>
      <c r="S179" s="164">
        <f t="shared" si="88"/>
        <v>0</v>
      </c>
      <c r="T179" s="164">
        <f t="shared" si="88"/>
        <v>0</v>
      </c>
      <c r="U179" s="164">
        <f t="shared" si="88"/>
        <v>0</v>
      </c>
      <c r="V179" s="164">
        <f t="shared" si="88"/>
        <v>0</v>
      </c>
      <c r="W179" s="164">
        <f t="shared" si="88"/>
        <v>0</v>
      </c>
      <c r="X179" s="164">
        <f t="shared" si="88"/>
        <v>0</v>
      </c>
      <c r="Y179" s="164">
        <f t="shared" ref="Y179:AM179" si="89">X184</f>
        <v>0</v>
      </c>
      <c r="Z179" s="164">
        <f t="shared" si="89"/>
        <v>0</v>
      </c>
      <c r="AA179" s="164">
        <f t="shared" si="89"/>
        <v>0</v>
      </c>
      <c r="AB179" s="164">
        <f t="shared" si="89"/>
        <v>0</v>
      </c>
      <c r="AC179" s="164">
        <f t="shared" si="89"/>
        <v>0</v>
      </c>
      <c r="AD179" s="164">
        <f t="shared" si="89"/>
        <v>0</v>
      </c>
      <c r="AE179" s="164">
        <f t="shared" si="89"/>
        <v>0</v>
      </c>
      <c r="AF179" s="164">
        <f t="shared" si="89"/>
        <v>0</v>
      </c>
      <c r="AG179" s="164">
        <f t="shared" si="89"/>
        <v>0</v>
      </c>
      <c r="AH179" s="164">
        <f t="shared" si="89"/>
        <v>0</v>
      </c>
      <c r="AI179" s="164">
        <f t="shared" si="89"/>
        <v>0</v>
      </c>
      <c r="AJ179" s="164">
        <f t="shared" si="89"/>
        <v>0</v>
      </c>
      <c r="AK179" s="164">
        <f t="shared" si="89"/>
        <v>0</v>
      </c>
      <c r="AL179" s="164">
        <f t="shared" si="89"/>
        <v>0</v>
      </c>
      <c r="AM179" s="164">
        <f t="shared" si="89"/>
        <v>0</v>
      </c>
    </row>
    <row r="180" spans="1:39" outlineLevel="1">
      <c r="A180" s="100"/>
      <c r="B180" s="100"/>
      <c r="C180" s="100"/>
      <c r="D180" s="179" t="str">
        <f t="shared" si="87"/>
        <v>Terminal facilities</v>
      </c>
      <c r="E180" s="165" t="str">
        <f>H498</f>
        <v>Airfield</v>
      </c>
      <c r="F180" s="165"/>
      <c r="G180" s="165" t="s">
        <v>60</v>
      </c>
      <c r="H180" s="121"/>
      <c r="I180" s="165"/>
      <c r="J180" s="165"/>
      <c r="K180" s="203"/>
      <c r="L180" s="203"/>
      <c r="M180" s="202"/>
      <c r="N180" s="535">
        <f>[2]OUTPUT!N220</f>
        <v>0</v>
      </c>
      <c r="O180" s="528">
        <f>N184</f>
        <v>0</v>
      </c>
      <c r="P180" s="164">
        <f t="shared" ref="P180:X180" si="90">O180</f>
        <v>0</v>
      </c>
      <c r="Q180" s="164">
        <f t="shared" si="90"/>
        <v>0</v>
      </c>
      <c r="R180" s="164">
        <f t="shared" si="90"/>
        <v>0</v>
      </c>
      <c r="S180" s="164">
        <f t="shared" si="90"/>
        <v>0</v>
      </c>
      <c r="T180" s="164">
        <f t="shared" si="90"/>
        <v>0</v>
      </c>
      <c r="U180" s="164">
        <f t="shared" si="90"/>
        <v>0</v>
      </c>
      <c r="V180" s="164">
        <f t="shared" si="90"/>
        <v>0</v>
      </c>
      <c r="W180" s="164">
        <f t="shared" si="90"/>
        <v>0</v>
      </c>
      <c r="X180" s="164">
        <f t="shared" si="90"/>
        <v>0</v>
      </c>
      <c r="Y180" s="164">
        <f t="shared" ref="Y180:AM180" si="91">X180</f>
        <v>0</v>
      </c>
      <c r="Z180" s="164">
        <f t="shared" si="91"/>
        <v>0</v>
      </c>
      <c r="AA180" s="164">
        <f t="shared" si="91"/>
        <v>0</v>
      </c>
      <c r="AB180" s="164">
        <f t="shared" si="91"/>
        <v>0</v>
      </c>
      <c r="AC180" s="164">
        <f t="shared" si="91"/>
        <v>0</v>
      </c>
      <c r="AD180" s="164">
        <f t="shared" si="91"/>
        <v>0</v>
      </c>
      <c r="AE180" s="164">
        <f t="shared" si="91"/>
        <v>0</v>
      </c>
      <c r="AF180" s="164">
        <f t="shared" si="91"/>
        <v>0</v>
      </c>
      <c r="AG180" s="164">
        <f t="shared" si="91"/>
        <v>0</v>
      </c>
      <c r="AH180" s="164">
        <f t="shared" si="91"/>
        <v>0</v>
      </c>
      <c r="AI180" s="164">
        <f t="shared" si="91"/>
        <v>0</v>
      </c>
      <c r="AJ180" s="164">
        <f t="shared" si="91"/>
        <v>0</v>
      </c>
      <c r="AK180" s="164">
        <f t="shared" si="91"/>
        <v>0</v>
      </c>
      <c r="AL180" s="164">
        <f t="shared" si="91"/>
        <v>0</v>
      </c>
      <c r="AM180" s="164">
        <f t="shared" si="91"/>
        <v>0</v>
      </c>
    </row>
    <row r="181" spans="1:39" outlineLevel="1">
      <c r="A181" s="100"/>
      <c r="B181" s="100"/>
      <c r="C181" s="100"/>
      <c r="D181" s="179" t="str">
        <f t="shared" si="87"/>
        <v>Terminal facilities</v>
      </c>
      <c r="E181" s="165" t="str">
        <f>H498</f>
        <v>Airfield</v>
      </c>
      <c r="F181" s="165"/>
      <c r="G181" s="165" t="s">
        <v>79</v>
      </c>
      <c r="H181" s="121"/>
      <c r="I181" s="165"/>
      <c r="J181" s="165"/>
      <c r="K181" s="203"/>
      <c r="L181" s="203"/>
      <c r="M181" s="202"/>
      <c r="N181" s="535">
        <v>0</v>
      </c>
      <c r="O181" s="197">
        <v>0</v>
      </c>
      <c r="P181" s="164">
        <f t="shared" ref="P181:X181" si="92">O183</f>
        <v>0</v>
      </c>
      <c r="Q181" s="164">
        <f t="shared" si="92"/>
        <v>0</v>
      </c>
      <c r="R181" s="164">
        <f t="shared" si="92"/>
        <v>0</v>
      </c>
      <c r="S181" s="164">
        <f t="shared" si="92"/>
        <v>0</v>
      </c>
      <c r="T181" s="164">
        <f t="shared" si="92"/>
        <v>0</v>
      </c>
      <c r="U181" s="164">
        <f t="shared" si="92"/>
        <v>0</v>
      </c>
      <c r="V181" s="164">
        <f t="shared" si="92"/>
        <v>0</v>
      </c>
      <c r="W181" s="164">
        <f t="shared" si="92"/>
        <v>0</v>
      </c>
      <c r="X181" s="164">
        <f t="shared" si="92"/>
        <v>0</v>
      </c>
      <c r="Y181" s="164">
        <f t="shared" ref="Y181:AM181" si="93">X183</f>
        <v>0</v>
      </c>
      <c r="Z181" s="164">
        <f t="shared" si="93"/>
        <v>0</v>
      </c>
      <c r="AA181" s="164">
        <f t="shared" si="93"/>
        <v>0</v>
      </c>
      <c r="AB181" s="164">
        <f t="shared" si="93"/>
        <v>0</v>
      </c>
      <c r="AC181" s="164">
        <f t="shared" si="93"/>
        <v>0</v>
      </c>
      <c r="AD181" s="164">
        <f t="shared" si="93"/>
        <v>0</v>
      </c>
      <c r="AE181" s="164">
        <f t="shared" si="93"/>
        <v>0</v>
      </c>
      <c r="AF181" s="164">
        <f t="shared" si="93"/>
        <v>0</v>
      </c>
      <c r="AG181" s="164">
        <f t="shared" si="93"/>
        <v>0</v>
      </c>
      <c r="AH181" s="164">
        <f t="shared" si="93"/>
        <v>0</v>
      </c>
      <c r="AI181" s="164">
        <f t="shared" si="93"/>
        <v>0</v>
      </c>
      <c r="AJ181" s="164">
        <f t="shared" si="93"/>
        <v>0</v>
      </c>
      <c r="AK181" s="164">
        <f t="shared" si="93"/>
        <v>0</v>
      </c>
      <c r="AL181" s="164">
        <f t="shared" si="93"/>
        <v>0</v>
      </c>
      <c r="AM181" s="164">
        <f t="shared" si="93"/>
        <v>0</v>
      </c>
    </row>
    <row r="182" spans="1:39" outlineLevel="1">
      <c r="A182" s="100"/>
      <c r="B182" s="100"/>
      <c r="C182" s="100"/>
      <c r="D182" s="179" t="str">
        <f t="shared" si="87"/>
        <v>Terminal facilities</v>
      </c>
      <c r="E182" s="165" t="str">
        <f>H498</f>
        <v>Airfield</v>
      </c>
      <c r="F182" s="165"/>
      <c r="G182" s="165" t="s">
        <v>78</v>
      </c>
      <c r="H182" s="121"/>
      <c r="I182" s="165"/>
      <c r="J182" s="165"/>
      <c r="K182" s="203"/>
      <c r="L182" s="203"/>
      <c r="M182" s="202"/>
      <c r="N182" s="535">
        <v>0</v>
      </c>
      <c r="O182" s="197">
        <f>IFERROR(MIN(O179,O180/'Asset base'!O$104),0)/2</f>
        <v>0</v>
      </c>
      <c r="P182" s="164">
        <f>IFERROR(MIN(P179,P180/'Asset base'!P$104),0)</f>
        <v>0</v>
      </c>
      <c r="Q182" s="164">
        <f>IFERROR(MIN(Q179,Q180/'Asset base'!Q$104),0)</f>
        <v>0</v>
      </c>
      <c r="R182" s="164">
        <f>IFERROR(MIN(R179,R180/'Asset base'!R$104),0)</f>
        <v>0</v>
      </c>
      <c r="S182" s="164">
        <f>IFERROR(MIN(S179,S180/'Asset base'!S$104),0)</f>
        <v>0</v>
      </c>
      <c r="T182" s="164">
        <f>IFERROR(MIN(T179,T180/'Asset base'!T$104),0)</f>
        <v>0</v>
      </c>
      <c r="U182" s="164">
        <f>IFERROR(MIN(U179,U180/'Asset base'!U$104),0)</f>
        <v>0</v>
      </c>
      <c r="V182" s="164">
        <f>IFERROR(MIN(V179,V180/'Asset base'!V$104),0)</f>
        <v>0</v>
      </c>
      <c r="W182" s="164">
        <f>IFERROR(MIN(W179,W180/'Asset base'!W$104),0)</f>
        <v>0</v>
      </c>
      <c r="X182" s="164">
        <f>IFERROR(MIN(X179,X180/'Asset base'!X$104),0)</f>
        <v>0</v>
      </c>
      <c r="Y182" s="164">
        <f>IFERROR(MIN(Y179,Y180/'Asset base'!Y$104),0)</f>
        <v>0</v>
      </c>
      <c r="Z182" s="164">
        <f>IFERROR(MIN(Z179,Z180/'Asset base'!Z$104),0)</f>
        <v>0</v>
      </c>
      <c r="AA182" s="164">
        <f>IFERROR(MIN(AA179,AA180/'Asset base'!AA$104),0)</f>
        <v>0</v>
      </c>
      <c r="AB182" s="164">
        <f>IFERROR(MIN(AB179,AB180/'Asset base'!AB$104),0)</f>
        <v>0</v>
      </c>
      <c r="AC182" s="164">
        <f>IFERROR(MIN(AC179,AC180/'Asset base'!AC$104),0)</f>
        <v>0</v>
      </c>
      <c r="AD182" s="164">
        <f>IFERROR(MIN(AD179,AD180/'Asset base'!AD$104),0)</f>
        <v>0</v>
      </c>
      <c r="AE182" s="164">
        <f>IFERROR(MIN(AE179,AE180/'Asset base'!AE$104),0)</f>
        <v>0</v>
      </c>
      <c r="AF182" s="164">
        <f>IFERROR(MIN(AF179,AF180/'Asset base'!AF$104),0)</f>
        <v>0</v>
      </c>
      <c r="AG182" s="164">
        <f>IFERROR(MIN(AG179,AG180/'Asset base'!AG$104),0)</f>
        <v>0</v>
      </c>
      <c r="AH182" s="164">
        <f>IFERROR(MIN(AH179,AH180/'Asset base'!AH$104),0)</f>
        <v>0</v>
      </c>
      <c r="AI182" s="164">
        <f>IFERROR(MIN(AI179,AI180/'Asset base'!AI$104),0)</f>
        <v>0</v>
      </c>
      <c r="AJ182" s="164">
        <f>IFERROR(MIN(AJ179,AJ180/'Asset base'!AJ$104),0)</f>
        <v>0</v>
      </c>
      <c r="AK182" s="164">
        <f>IFERROR(MIN(AK179,AK180/'Asset base'!AK$104),0)</f>
        <v>0</v>
      </c>
      <c r="AL182" s="164">
        <f>IFERROR(MIN(AL179,AL180/'Asset base'!AL$104),0)</f>
        <v>0</v>
      </c>
      <c r="AM182" s="164">
        <f>IFERROR(MIN(AM179,AM180/'Asset base'!AM$104),0)</f>
        <v>0</v>
      </c>
    </row>
    <row r="183" spans="1:39" outlineLevel="1">
      <c r="A183" s="100"/>
      <c r="B183" s="100"/>
      <c r="C183" s="100"/>
      <c r="D183" s="179" t="str">
        <f t="shared" si="87"/>
        <v>Terminal facilities</v>
      </c>
      <c r="E183" s="165" t="str">
        <f>H498</f>
        <v>Airfield</v>
      </c>
      <c r="F183" s="165"/>
      <c r="G183" s="165" t="s">
        <v>77</v>
      </c>
      <c r="H183" s="121"/>
      <c r="I183" s="165"/>
      <c r="J183" s="165"/>
      <c r="K183" s="302"/>
      <c r="L183" s="302"/>
      <c r="M183" s="315"/>
      <c r="N183" s="535">
        <v>0</v>
      </c>
      <c r="O183" s="197">
        <f t="shared" ref="O183:X183" si="94">SUM(O181:O182)</f>
        <v>0</v>
      </c>
      <c r="P183" s="164">
        <f t="shared" si="94"/>
        <v>0</v>
      </c>
      <c r="Q183" s="164">
        <f t="shared" si="94"/>
        <v>0</v>
      </c>
      <c r="R183" s="164">
        <f t="shared" si="94"/>
        <v>0</v>
      </c>
      <c r="S183" s="164">
        <f t="shared" si="94"/>
        <v>0</v>
      </c>
      <c r="T183" s="164">
        <f t="shared" si="94"/>
        <v>0</v>
      </c>
      <c r="U183" s="164">
        <f t="shared" si="94"/>
        <v>0</v>
      </c>
      <c r="V183" s="164">
        <f t="shared" si="94"/>
        <v>0</v>
      </c>
      <c r="W183" s="164">
        <f t="shared" si="94"/>
        <v>0</v>
      </c>
      <c r="X183" s="164">
        <f t="shared" si="94"/>
        <v>0</v>
      </c>
      <c r="Y183" s="164">
        <f>SUM(Y181:Y182)</f>
        <v>0</v>
      </c>
      <c r="Z183" s="164">
        <f t="shared" ref="Z183:AM183" si="95">SUM(Z181:Z182)</f>
        <v>0</v>
      </c>
      <c r="AA183" s="164">
        <f t="shared" si="95"/>
        <v>0</v>
      </c>
      <c r="AB183" s="164">
        <f t="shared" si="95"/>
        <v>0</v>
      </c>
      <c r="AC183" s="164">
        <f t="shared" si="95"/>
        <v>0</v>
      </c>
      <c r="AD183" s="164">
        <f t="shared" si="95"/>
        <v>0</v>
      </c>
      <c r="AE183" s="164">
        <f t="shared" si="95"/>
        <v>0</v>
      </c>
      <c r="AF183" s="164">
        <f t="shared" si="95"/>
        <v>0</v>
      </c>
      <c r="AG183" s="164">
        <f t="shared" si="95"/>
        <v>0</v>
      </c>
      <c r="AH183" s="164">
        <f t="shared" si="95"/>
        <v>0</v>
      </c>
      <c r="AI183" s="164">
        <f t="shared" si="95"/>
        <v>0</v>
      </c>
      <c r="AJ183" s="164">
        <f t="shared" si="95"/>
        <v>0</v>
      </c>
      <c r="AK183" s="164">
        <f t="shared" si="95"/>
        <v>0</v>
      </c>
      <c r="AL183" s="164">
        <f t="shared" si="95"/>
        <v>0</v>
      </c>
      <c r="AM183" s="164">
        <f t="shared" si="95"/>
        <v>0</v>
      </c>
    </row>
    <row r="184" spans="1:39" outlineLevel="1">
      <c r="A184" s="100"/>
      <c r="B184" s="100"/>
      <c r="C184" s="100"/>
      <c r="D184" s="179" t="str">
        <f t="shared" si="87"/>
        <v>Terminal facilities</v>
      </c>
      <c r="E184" s="165" t="str">
        <f>H498</f>
        <v>Airfield</v>
      </c>
      <c r="F184" s="165"/>
      <c r="G184" s="200" t="s">
        <v>76</v>
      </c>
      <c r="H184" s="201"/>
      <c r="I184" s="200"/>
      <c r="J184" s="200"/>
      <c r="K184" s="164">
        <f t="shared" ref="K184:S184" si="96">K180-K183</f>
        <v>0</v>
      </c>
      <c r="L184" s="164">
        <f t="shared" si="96"/>
        <v>0</v>
      </c>
      <c r="M184" s="227">
        <f>N179</f>
        <v>0</v>
      </c>
      <c r="N184" s="541">
        <f>'[7]2008-2012 Asset Mov''t Revised'!$R$82</f>
        <v>0</v>
      </c>
      <c r="O184" s="199">
        <f t="shared" si="96"/>
        <v>0</v>
      </c>
      <c r="P184" s="198">
        <f t="shared" si="96"/>
        <v>0</v>
      </c>
      <c r="Q184" s="198">
        <f t="shared" si="96"/>
        <v>0</v>
      </c>
      <c r="R184" s="198">
        <f t="shared" si="96"/>
        <v>0</v>
      </c>
      <c r="S184" s="198">
        <f t="shared" si="96"/>
        <v>0</v>
      </c>
      <c r="T184" s="198">
        <f t="shared" ref="T184:AM184" si="97">T180-T183</f>
        <v>0</v>
      </c>
      <c r="U184" s="198">
        <f t="shared" si="97"/>
        <v>0</v>
      </c>
      <c r="V184" s="198">
        <f t="shared" si="97"/>
        <v>0</v>
      </c>
      <c r="W184" s="198">
        <f t="shared" si="97"/>
        <v>0</v>
      </c>
      <c r="X184" s="198">
        <f t="shared" si="97"/>
        <v>0</v>
      </c>
      <c r="Y184" s="198">
        <f t="shared" si="97"/>
        <v>0</v>
      </c>
      <c r="Z184" s="198">
        <f t="shared" si="97"/>
        <v>0</v>
      </c>
      <c r="AA184" s="198">
        <f t="shared" si="97"/>
        <v>0</v>
      </c>
      <c r="AB184" s="198">
        <f t="shared" si="97"/>
        <v>0</v>
      </c>
      <c r="AC184" s="198">
        <f t="shared" si="97"/>
        <v>0</v>
      </c>
      <c r="AD184" s="198">
        <f t="shared" si="97"/>
        <v>0</v>
      </c>
      <c r="AE184" s="198">
        <f t="shared" si="97"/>
        <v>0</v>
      </c>
      <c r="AF184" s="198">
        <f t="shared" si="97"/>
        <v>0</v>
      </c>
      <c r="AG184" s="198">
        <f t="shared" si="97"/>
        <v>0</v>
      </c>
      <c r="AH184" s="198">
        <f t="shared" si="97"/>
        <v>0</v>
      </c>
      <c r="AI184" s="198">
        <f t="shared" si="97"/>
        <v>0</v>
      </c>
      <c r="AJ184" s="198">
        <f t="shared" si="97"/>
        <v>0</v>
      </c>
      <c r="AK184" s="198">
        <f t="shared" si="97"/>
        <v>0</v>
      </c>
      <c r="AL184" s="198">
        <f t="shared" si="97"/>
        <v>0</v>
      </c>
      <c r="AM184" s="198">
        <f t="shared" si="97"/>
        <v>0</v>
      </c>
    </row>
    <row r="185" spans="1:39" outlineLevel="1">
      <c r="A185" s="100"/>
      <c r="B185" s="100"/>
      <c r="C185" s="100"/>
      <c r="D185" s="179"/>
      <c r="E185" s="165"/>
      <c r="F185" s="165"/>
      <c r="G185" s="165"/>
      <c r="H185" s="121"/>
      <c r="I185" s="165"/>
      <c r="J185" s="165"/>
      <c r="K185" s="164"/>
      <c r="L185" s="164"/>
      <c r="M185" s="227"/>
      <c r="N185" s="197"/>
      <c r="O185" s="197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</row>
    <row r="186" spans="1:39" outlineLevel="1">
      <c r="A186" s="100"/>
      <c r="B186" s="100"/>
      <c r="C186" s="100"/>
      <c r="D186" s="179"/>
      <c r="E186" s="165"/>
      <c r="F186" s="165"/>
      <c r="G186" s="206" t="str">
        <f>G572</f>
        <v>Car parking</v>
      </c>
      <c r="H186" s="121"/>
      <c r="I186" s="165"/>
      <c r="J186" s="165"/>
      <c r="K186" s="164"/>
      <c r="L186" s="164"/>
      <c r="M186" s="227"/>
      <c r="N186" s="164"/>
      <c r="O186" s="164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</row>
    <row r="187" spans="1:39" outlineLevel="1">
      <c r="A187" s="100"/>
      <c r="B187" s="100"/>
      <c r="C187" s="100"/>
      <c r="D187" s="179"/>
      <c r="E187" s="165"/>
      <c r="F187" s="165"/>
      <c r="G187" s="205"/>
      <c r="H187" s="121"/>
      <c r="I187" s="165"/>
      <c r="J187" s="165"/>
      <c r="K187" s="207"/>
      <c r="L187" s="164"/>
      <c r="M187" s="227"/>
      <c r="N187" s="164"/>
      <c r="O187" s="164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</row>
    <row r="188" spans="1:39" outlineLevel="1">
      <c r="A188" s="100"/>
      <c r="B188" s="100"/>
      <c r="C188" s="100"/>
      <c r="D188" s="179" t="str">
        <f t="shared" ref="D188:D193" si="98">$G$572</f>
        <v>Car parking</v>
      </c>
      <c r="E188" s="165" t="str">
        <f>H498</f>
        <v>Airfield</v>
      </c>
      <c r="F188" s="165"/>
      <c r="G188" s="165" t="s">
        <v>80</v>
      </c>
      <c r="H188" s="121"/>
      <c r="I188" s="165"/>
      <c r="J188" s="165"/>
      <c r="K188" s="164"/>
      <c r="L188" s="164"/>
      <c r="M188" s="227"/>
      <c r="N188" s="535">
        <f>[2]OUTPUT!N228</f>
        <v>0</v>
      </c>
      <c r="O188" s="164">
        <f t="shared" ref="O188:X188" si="99">N193</f>
        <v>0</v>
      </c>
      <c r="P188" s="164">
        <f t="shared" si="99"/>
        <v>0</v>
      </c>
      <c r="Q188" s="164">
        <f t="shared" si="99"/>
        <v>0</v>
      </c>
      <c r="R188" s="164">
        <f t="shared" si="99"/>
        <v>0</v>
      </c>
      <c r="S188" s="164">
        <f t="shared" si="99"/>
        <v>0</v>
      </c>
      <c r="T188" s="164">
        <f t="shared" si="99"/>
        <v>0</v>
      </c>
      <c r="U188" s="164">
        <f t="shared" si="99"/>
        <v>0</v>
      </c>
      <c r="V188" s="164">
        <f t="shared" si="99"/>
        <v>0</v>
      </c>
      <c r="W188" s="164">
        <f t="shared" si="99"/>
        <v>0</v>
      </c>
      <c r="X188" s="164">
        <f t="shared" si="99"/>
        <v>0</v>
      </c>
      <c r="Y188" s="164">
        <f t="shared" ref="Y188:AM188" si="100">X193</f>
        <v>0</v>
      </c>
      <c r="Z188" s="164">
        <f t="shared" si="100"/>
        <v>0</v>
      </c>
      <c r="AA188" s="164">
        <f t="shared" si="100"/>
        <v>0</v>
      </c>
      <c r="AB188" s="164">
        <f t="shared" si="100"/>
        <v>0</v>
      </c>
      <c r="AC188" s="164">
        <f t="shared" si="100"/>
        <v>0</v>
      </c>
      <c r="AD188" s="164">
        <f t="shared" si="100"/>
        <v>0</v>
      </c>
      <c r="AE188" s="164">
        <f t="shared" si="100"/>
        <v>0</v>
      </c>
      <c r="AF188" s="164">
        <f t="shared" si="100"/>
        <v>0</v>
      </c>
      <c r="AG188" s="164">
        <f t="shared" si="100"/>
        <v>0</v>
      </c>
      <c r="AH188" s="164">
        <f t="shared" si="100"/>
        <v>0</v>
      </c>
      <c r="AI188" s="164">
        <f t="shared" si="100"/>
        <v>0</v>
      </c>
      <c r="AJ188" s="164">
        <f t="shared" si="100"/>
        <v>0</v>
      </c>
      <c r="AK188" s="164">
        <f t="shared" si="100"/>
        <v>0</v>
      </c>
      <c r="AL188" s="164">
        <f t="shared" si="100"/>
        <v>0</v>
      </c>
      <c r="AM188" s="164">
        <f t="shared" si="100"/>
        <v>0</v>
      </c>
    </row>
    <row r="189" spans="1:39" outlineLevel="1">
      <c r="A189" s="100"/>
      <c r="B189" s="100"/>
      <c r="C189" s="100"/>
      <c r="D189" s="179" t="str">
        <f t="shared" si="98"/>
        <v>Car parking</v>
      </c>
      <c r="E189" s="165" t="str">
        <f>H498</f>
        <v>Airfield</v>
      </c>
      <c r="F189" s="165"/>
      <c r="G189" s="165" t="s">
        <v>60</v>
      </c>
      <c r="H189" s="121"/>
      <c r="I189" s="165"/>
      <c r="J189" s="165"/>
      <c r="K189" s="203"/>
      <c r="L189" s="203"/>
      <c r="M189" s="202"/>
      <c r="N189" s="535">
        <f>[2]OUTPUT!N229</f>
        <v>0</v>
      </c>
      <c r="O189" s="164">
        <f t="shared" ref="O189:X189" si="101">N189</f>
        <v>0</v>
      </c>
      <c r="P189" s="164">
        <f t="shared" si="101"/>
        <v>0</v>
      </c>
      <c r="Q189" s="164">
        <f t="shared" si="101"/>
        <v>0</v>
      </c>
      <c r="R189" s="164">
        <f t="shared" si="101"/>
        <v>0</v>
      </c>
      <c r="S189" s="164">
        <f t="shared" si="101"/>
        <v>0</v>
      </c>
      <c r="T189" s="164">
        <f t="shared" si="101"/>
        <v>0</v>
      </c>
      <c r="U189" s="164">
        <f t="shared" si="101"/>
        <v>0</v>
      </c>
      <c r="V189" s="164">
        <f t="shared" si="101"/>
        <v>0</v>
      </c>
      <c r="W189" s="164">
        <f t="shared" si="101"/>
        <v>0</v>
      </c>
      <c r="X189" s="164">
        <f t="shared" si="101"/>
        <v>0</v>
      </c>
      <c r="Y189" s="164">
        <f t="shared" ref="Y189:AM189" si="102">X189</f>
        <v>0</v>
      </c>
      <c r="Z189" s="164">
        <f t="shared" si="102"/>
        <v>0</v>
      </c>
      <c r="AA189" s="164">
        <f t="shared" si="102"/>
        <v>0</v>
      </c>
      <c r="AB189" s="164">
        <f t="shared" si="102"/>
        <v>0</v>
      </c>
      <c r="AC189" s="164">
        <f t="shared" si="102"/>
        <v>0</v>
      </c>
      <c r="AD189" s="164">
        <f t="shared" si="102"/>
        <v>0</v>
      </c>
      <c r="AE189" s="164">
        <f t="shared" si="102"/>
        <v>0</v>
      </c>
      <c r="AF189" s="164">
        <f t="shared" si="102"/>
        <v>0</v>
      </c>
      <c r="AG189" s="164">
        <f t="shared" si="102"/>
        <v>0</v>
      </c>
      <c r="AH189" s="164">
        <f t="shared" si="102"/>
        <v>0</v>
      </c>
      <c r="AI189" s="164">
        <f t="shared" si="102"/>
        <v>0</v>
      </c>
      <c r="AJ189" s="164">
        <f t="shared" si="102"/>
        <v>0</v>
      </c>
      <c r="AK189" s="164">
        <f t="shared" si="102"/>
        <v>0</v>
      </c>
      <c r="AL189" s="164">
        <f t="shared" si="102"/>
        <v>0</v>
      </c>
      <c r="AM189" s="164">
        <f t="shared" si="102"/>
        <v>0</v>
      </c>
    </row>
    <row r="190" spans="1:39" outlineLevel="1">
      <c r="A190" s="100"/>
      <c r="B190" s="100"/>
      <c r="C190" s="100"/>
      <c r="D190" s="179" t="str">
        <f t="shared" si="98"/>
        <v>Car parking</v>
      </c>
      <c r="E190" s="165" t="str">
        <f>H498</f>
        <v>Airfield</v>
      </c>
      <c r="F190" s="165"/>
      <c r="G190" s="165" t="s">
        <v>79</v>
      </c>
      <c r="H190" s="121"/>
      <c r="I190" s="165"/>
      <c r="J190" s="165"/>
      <c r="K190" s="203"/>
      <c r="L190" s="203"/>
      <c r="M190" s="202"/>
      <c r="N190" s="535">
        <f>[2]OUTPUT!N230</f>
        <v>0</v>
      </c>
      <c r="O190" s="164">
        <f t="shared" ref="O190:X190" si="103">N192</f>
        <v>0</v>
      </c>
      <c r="P190" s="164">
        <f t="shared" si="103"/>
        <v>0</v>
      </c>
      <c r="Q190" s="164">
        <f t="shared" si="103"/>
        <v>0</v>
      </c>
      <c r="R190" s="164">
        <f t="shared" si="103"/>
        <v>0</v>
      </c>
      <c r="S190" s="164">
        <f t="shared" si="103"/>
        <v>0</v>
      </c>
      <c r="T190" s="164">
        <f t="shared" si="103"/>
        <v>0</v>
      </c>
      <c r="U190" s="164">
        <f t="shared" si="103"/>
        <v>0</v>
      </c>
      <c r="V190" s="164">
        <f t="shared" si="103"/>
        <v>0</v>
      </c>
      <c r="W190" s="164">
        <f t="shared" si="103"/>
        <v>0</v>
      </c>
      <c r="X190" s="164">
        <f t="shared" si="103"/>
        <v>0</v>
      </c>
      <c r="Y190" s="164">
        <f t="shared" ref="Y190:AM190" si="104">X192</f>
        <v>0</v>
      </c>
      <c r="Z190" s="164">
        <f t="shared" si="104"/>
        <v>0</v>
      </c>
      <c r="AA190" s="164">
        <f t="shared" si="104"/>
        <v>0</v>
      </c>
      <c r="AB190" s="164">
        <f t="shared" si="104"/>
        <v>0</v>
      </c>
      <c r="AC190" s="164">
        <f t="shared" si="104"/>
        <v>0</v>
      </c>
      <c r="AD190" s="164">
        <f t="shared" si="104"/>
        <v>0</v>
      </c>
      <c r="AE190" s="164">
        <f t="shared" si="104"/>
        <v>0</v>
      </c>
      <c r="AF190" s="164">
        <f t="shared" si="104"/>
        <v>0</v>
      </c>
      <c r="AG190" s="164">
        <f t="shared" si="104"/>
        <v>0</v>
      </c>
      <c r="AH190" s="164">
        <f t="shared" si="104"/>
        <v>0</v>
      </c>
      <c r="AI190" s="164">
        <f t="shared" si="104"/>
        <v>0</v>
      </c>
      <c r="AJ190" s="164">
        <f t="shared" si="104"/>
        <v>0</v>
      </c>
      <c r="AK190" s="164">
        <f t="shared" si="104"/>
        <v>0</v>
      </c>
      <c r="AL190" s="164">
        <f t="shared" si="104"/>
        <v>0</v>
      </c>
      <c r="AM190" s="164">
        <f t="shared" si="104"/>
        <v>0</v>
      </c>
    </row>
    <row r="191" spans="1:39" outlineLevel="1">
      <c r="A191" s="100"/>
      <c r="B191" s="100"/>
      <c r="C191" s="100"/>
      <c r="D191" s="179" t="str">
        <f t="shared" si="98"/>
        <v>Car parking</v>
      </c>
      <c r="E191" s="165" t="str">
        <f>H498</f>
        <v>Airfield</v>
      </c>
      <c r="F191" s="165"/>
      <c r="G191" s="165" t="s">
        <v>78</v>
      </c>
      <c r="H191" s="121"/>
      <c r="I191" s="165"/>
      <c r="J191" s="165"/>
      <c r="K191" s="203"/>
      <c r="L191" s="203"/>
      <c r="M191" s="202"/>
      <c r="N191" s="535">
        <f>[2]OUTPUT!N231</f>
        <v>0</v>
      </c>
      <c r="O191" s="164">
        <f>IFERROR(MIN(O188,O189/'Asset base'!O$105),0)</f>
        <v>0</v>
      </c>
      <c r="P191" s="164">
        <f>IFERROR(MIN(P188,P189/'Asset base'!P$105),0)</f>
        <v>0</v>
      </c>
      <c r="Q191" s="164">
        <f>IFERROR(MIN(Q188,Q189/'Asset base'!Q$105),0)</f>
        <v>0</v>
      </c>
      <c r="R191" s="164">
        <f>IFERROR(MIN(R188,R189/'Asset base'!R$105),0)</f>
        <v>0</v>
      </c>
      <c r="S191" s="164">
        <f>IFERROR(MIN(S188,S189/'Asset base'!S$105),0)</f>
        <v>0</v>
      </c>
      <c r="T191" s="164">
        <f>IFERROR(MIN(T188,T189/'Asset base'!T$105),0)</f>
        <v>0</v>
      </c>
      <c r="U191" s="164">
        <f>IFERROR(MIN(U188,U189/'Asset base'!U$105),0)</f>
        <v>0</v>
      </c>
      <c r="V191" s="164">
        <f>IFERROR(MIN(V188,V189/'Asset base'!V$105),0)</f>
        <v>0</v>
      </c>
      <c r="W191" s="164">
        <f>IFERROR(MIN(W188,W189/'Asset base'!W$105),0)</f>
        <v>0</v>
      </c>
      <c r="X191" s="164">
        <f>IFERROR(MIN(X188,X189/'Asset base'!X$105),0)</f>
        <v>0</v>
      </c>
      <c r="Y191" s="164">
        <f>IFERROR(MIN(Y188,Y189/'Asset base'!Y$105),0)</f>
        <v>0</v>
      </c>
      <c r="Z191" s="164">
        <f>IFERROR(MIN(Z188,Z189/'Asset base'!Z$105),0)</f>
        <v>0</v>
      </c>
      <c r="AA191" s="164">
        <f>IFERROR(MIN(AA188,AA189/'Asset base'!AA$105),0)</f>
        <v>0</v>
      </c>
      <c r="AB191" s="164">
        <f>IFERROR(MIN(AB188,AB189/'Asset base'!AB$105),0)</f>
        <v>0</v>
      </c>
      <c r="AC191" s="164">
        <f>IFERROR(MIN(AC188,AC189/'Asset base'!AC$105),0)</f>
        <v>0</v>
      </c>
      <c r="AD191" s="164">
        <f>IFERROR(MIN(AD188,AD189/'Asset base'!AD$105),0)</f>
        <v>0</v>
      </c>
      <c r="AE191" s="164">
        <f>IFERROR(MIN(AE188,AE189/'Asset base'!AE$105),0)</f>
        <v>0</v>
      </c>
      <c r="AF191" s="164">
        <f>IFERROR(MIN(AF188,AF189/'Asset base'!AF$105),0)</f>
        <v>0</v>
      </c>
      <c r="AG191" s="164">
        <f>IFERROR(MIN(AG188,AG189/'Asset base'!AG$105),0)</f>
        <v>0</v>
      </c>
      <c r="AH191" s="164">
        <f>IFERROR(MIN(AH188,AH189/'Asset base'!AH$105),0)</f>
        <v>0</v>
      </c>
      <c r="AI191" s="164">
        <f>IFERROR(MIN(AI188,AI189/'Asset base'!AI$105),0)</f>
        <v>0</v>
      </c>
      <c r="AJ191" s="164">
        <f>IFERROR(MIN(AJ188,AJ189/'Asset base'!AJ$105),0)</f>
        <v>0</v>
      </c>
      <c r="AK191" s="164">
        <f>IFERROR(MIN(AK188,AK189/'Asset base'!AK$105),0)</f>
        <v>0</v>
      </c>
      <c r="AL191" s="164">
        <f>IFERROR(MIN(AL188,AL189/'Asset base'!AL$105),0)</f>
        <v>0</v>
      </c>
      <c r="AM191" s="164">
        <f>IFERROR(MIN(AM188,AM189/'Asset base'!AM$105),0)</f>
        <v>0</v>
      </c>
    </row>
    <row r="192" spans="1:39" outlineLevel="1">
      <c r="A192" s="100"/>
      <c r="B192" s="100"/>
      <c r="C192" s="100"/>
      <c r="D192" s="179" t="str">
        <f t="shared" si="98"/>
        <v>Car parking</v>
      </c>
      <c r="E192" s="165" t="str">
        <f>H498</f>
        <v>Airfield</v>
      </c>
      <c r="F192" s="165"/>
      <c r="G192" s="165" t="s">
        <v>77</v>
      </c>
      <c r="H192" s="121"/>
      <c r="I192" s="165"/>
      <c r="J192" s="165"/>
      <c r="K192" s="302"/>
      <c r="L192" s="302"/>
      <c r="M192" s="315"/>
      <c r="N192" s="535">
        <f>[2]OUTPUT!N232</f>
        <v>0</v>
      </c>
      <c r="O192" s="164">
        <f t="shared" ref="O192:X192" si="105">SUM(O190:O191)</f>
        <v>0</v>
      </c>
      <c r="P192" s="164">
        <f t="shared" si="105"/>
        <v>0</v>
      </c>
      <c r="Q192" s="164">
        <f t="shared" si="105"/>
        <v>0</v>
      </c>
      <c r="R192" s="164">
        <f t="shared" si="105"/>
        <v>0</v>
      </c>
      <c r="S192" s="164">
        <f t="shared" si="105"/>
        <v>0</v>
      </c>
      <c r="T192" s="164">
        <f t="shared" si="105"/>
        <v>0</v>
      </c>
      <c r="U192" s="164">
        <f t="shared" si="105"/>
        <v>0</v>
      </c>
      <c r="V192" s="164">
        <f t="shared" si="105"/>
        <v>0</v>
      </c>
      <c r="W192" s="164">
        <f t="shared" si="105"/>
        <v>0</v>
      </c>
      <c r="X192" s="164">
        <f t="shared" si="105"/>
        <v>0</v>
      </c>
      <c r="Y192" s="164">
        <f>SUM(Y190:Y191)</f>
        <v>0</v>
      </c>
      <c r="Z192" s="164">
        <f t="shared" ref="Z192:AM192" si="106">SUM(Z190:Z191)</f>
        <v>0</v>
      </c>
      <c r="AA192" s="164">
        <f t="shared" si="106"/>
        <v>0</v>
      </c>
      <c r="AB192" s="164">
        <f t="shared" si="106"/>
        <v>0</v>
      </c>
      <c r="AC192" s="164">
        <f t="shared" si="106"/>
        <v>0</v>
      </c>
      <c r="AD192" s="164">
        <f t="shared" si="106"/>
        <v>0</v>
      </c>
      <c r="AE192" s="164">
        <f t="shared" si="106"/>
        <v>0</v>
      </c>
      <c r="AF192" s="164">
        <f t="shared" si="106"/>
        <v>0</v>
      </c>
      <c r="AG192" s="164">
        <f t="shared" si="106"/>
        <v>0</v>
      </c>
      <c r="AH192" s="164">
        <f t="shared" si="106"/>
        <v>0</v>
      </c>
      <c r="AI192" s="164">
        <f t="shared" si="106"/>
        <v>0</v>
      </c>
      <c r="AJ192" s="164">
        <f t="shared" si="106"/>
        <v>0</v>
      </c>
      <c r="AK192" s="164">
        <f t="shared" si="106"/>
        <v>0</v>
      </c>
      <c r="AL192" s="164">
        <f t="shared" si="106"/>
        <v>0</v>
      </c>
      <c r="AM192" s="164">
        <f t="shared" si="106"/>
        <v>0</v>
      </c>
    </row>
    <row r="193" spans="1:39" outlineLevel="1">
      <c r="A193" s="100"/>
      <c r="B193" s="100"/>
      <c r="C193" s="100"/>
      <c r="D193" s="179" t="str">
        <f t="shared" si="98"/>
        <v>Car parking</v>
      </c>
      <c r="E193" s="165" t="str">
        <f>H498</f>
        <v>Airfield</v>
      </c>
      <c r="F193" s="165"/>
      <c r="G193" s="200" t="s">
        <v>76</v>
      </c>
      <c r="H193" s="201"/>
      <c r="I193" s="200"/>
      <c r="J193" s="200"/>
      <c r="K193" s="198">
        <f t="shared" ref="K193:S193" si="107">K189-K192</f>
        <v>0</v>
      </c>
      <c r="L193" s="198">
        <f t="shared" si="107"/>
        <v>0</v>
      </c>
      <c r="M193" s="227">
        <f>N188</f>
        <v>0</v>
      </c>
      <c r="N193" s="198">
        <f t="shared" si="107"/>
        <v>0</v>
      </c>
      <c r="O193" s="198">
        <f t="shared" si="107"/>
        <v>0</v>
      </c>
      <c r="P193" s="198">
        <f t="shared" si="107"/>
        <v>0</v>
      </c>
      <c r="Q193" s="198">
        <f t="shared" si="107"/>
        <v>0</v>
      </c>
      <c r="R193" s="198">
        <f t="shared" si="107"/>
        <v>0</v>
      </c>
      <c r="S193" s="198">
        <f t="shared" si="107"/>
        <v>0</v>
      </c>
      <c r="T193" s="198">
        <f t="shared" ref="T193:AM193" si="108">T189-T192</f>
        <v>0</v>
      </c>
      <c r="U193" s="198">
        <f t="shared" si="108"/>
        <v>0</v>
      </c>
      <c r="V193" s="198">
        <f t="shared" si="108"/>
        <v>0</v>
      </c>
      <c r="W193" s="198">
        <f t="shared" si="108"/>
        <v>0</v>
      </c>
      <c r="X193" s="198">
        <f t="shared" si="108"/>
        <v>0</v>
      </c>
      <c r="Y193" s="198">
        <f t="shared" si="108"/>
        <v>0</v>
      </c>
      <c r="Z193" s="198">
        <f t="shared" si="108"/>
        <v>0</v>
      </c>
      <c r="AA193" s="198">
        <f t="shared" si="108"/>
        <v>0</v>
      </c>
      <c r="AB193" s="198">
        <f t="shared" si="108"/>
        <v>0</v>
      </c>
      <c r="AC193" s="198">
        <f t="shared" si="108"/>
        <v>0</v>
      </c>
      <c r="AD193" s="198">
        <f t="shared" si="108"/>
        <v>0</v>
      </c>
      <c r="AE193" s="198">
        <f t="shared" si="108"/>
        <v>0</v>
      </c>
      <c r="AF193" s="198">
        <f t="shared" si="108"/>
        <v>0</v>
      </c>
      <c r="AG193" s="198">
        <f t="shared" si="108"/>
        <v>0</v>
      </c>
      <c r="AH193" s="198">
        <f t="shared" si="108"/>
        <v>0</v>
      </c>
      <c r="AI193" s="198">
        <f t="shared" si="108"/>
        <v>0</v>
      </c>
      <c r="AJ193" s="198">
        <f t="shared" si="108"/>
        <v>0</v>
      </c>
      <c r="AK193" s="198">
        <f t="shared" si="108"/>
        <v>0</v>
      </c>
      <c r="AL193" s="198">
        <f t="shared" si="108"/>
        <v>0</v>
      </c>
      <c r="AM193" s="198">
        <f t="shared" si="108"/>
        <v>0</v>
      </c>
    </row>
    <row r="194" spans="1:39" outlineLevel="1">
      <c r="A194" s="100"/>
      <c r="B194" s="100"/>
      <c r="C194" s="100"/>
      <c r="D194" s="179"/>
      <c r="E194" s="165"/>
      <c r="F194" s="165"/>
      <c r="G194" s="165"/>
      <c r="H194" s="121"/>
      <c r="I194" s="165"/>
      <c r="J194" s="165"/>
      <c r="K194" s="164"/>
      <c r="L194" s="164"/>
      <c r="M194" s="227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</row>
    <row r="195" spans="1:39" outlineLevel="1">
      <c r="A195" s="100"/>
      <c r="B195" s="100"/>
      <c r="C195" s="100"/>
      <c r="D195" s="179"/>
      <c r="E195" s="165"/>
      <c r="F195" s="165"/>
      <c r="G195" s="206" t="str">
        <f>G581</f>
        <v>Software</v>
      </c>
      <c r="H195" s="121"/>
      <c r="I195" s="165"/>
      <c r="J195" s="165"/>
      <c r="K195" s="207"/>
      <c r="L195" s="164"/>
      <c r="M195" s="227"/>
      <c r="N195" s="164"/>
      <c r="O195" s="164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</row>
    <row r="196" spans="1:39" outlineLevel="1">
      <c r="A196" s="100"/>
      <c r="B196" s="100"/>
      <c r="C196" s="100"/>
      <c r="D196" s="179"/>
      <c r="E196" s="165"/>
      <c r="F196" s="165"/>
      <c r="G196" s="205"/>
      <c r="H196" s="121"/>
      <c r="I196" s="165"/>
      <c r="J196" s="165"/>
      <c r="K196" s="207"/>
      <c r="L196" s="164"/>
      <c r="M196" s="227"/>
      <c r="N196" s="197"/>
      <c r="O196" s="197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/>
      <c r="AL196" s="165"/>
      <c r="AM196" s="165"/>
    </row>
    <row r="197" spans="1:39" outlineLevel="1">
      <c r="A197" s="100"/>
      <c r="B197" s="100"/>
      <c r="C197" s="100"/>
      <c r="D197" s="179" t="str">
        <f t="shared" ref="D197:D202" si="109">$G$581</f>
        <v>Software</v>
      </c>
      <c r="E197" s="165" t="str">
        <f>H498</f>
        <v>Airfield</v>
      </c>
      <c r="F197" s="165"/>
      <c r="G197" s="165" t="s">
        <v>80</v>
      </c>
      <c r="H197" s="121"/>
      <c r="I197" s="165"/>
      <c r="J197" s="165"/>
      <c r="K197" s="164"/>
      <c r="L197" s="164"/>
      <c r="M197" s="227"/>
      <c r="N197" s="535"/>
      <c r="O197" s="197">
        <f>N202</f>
        <v>132348.09695488837</v>
      </c>
      <c r="P197" s="164">
        <f t="shared" ref="P197:X197" si="110">O202</f>
        <v>99261.07271616628</v>
      </c>
      <c r="Q197" s="164">
        <f t="shared" si="110"/>
        <v>66174.048477444187</v>
      </c>
      <c r="R197" s="164">
        <f t="shared" si="110"/>
        <v>33087.024238722093</v>
      </c>
      <c r="S197" s="164">
        <f t="shared" si="110"/>
        <v>0</v>
      </c>
      <c r="T197" s="164">
        <f t="shared" si="110"/>
        <v>0</v>
      </c>
      <c r="U197" s="164">
        <f t="shared" si="110"/>
        <v>0</v>
      </c>
      <c r="V197" s="164">
        <f t="shared" si="110"/>
        <v>0</v>
      </c>
      <c r="W197" s="164">
        <f t="shared" si="110"/>
        <v>0</v>
      </c>
      <c r="X197" s="164">
        <f t="shared" si="110"/>
        <v>0</v>
      </c>
      <c r="Y197" s="164">
        <f t="shared" ref="Y197:AM197" si="111">X202</f>
        <v>0</v>
      </c>
      <c r="Z197" s="164">
        <f t="shared" si="111"/>
        <v>0</v>
      </c>
      <c r="AA197" s="164">
        <f t="shared" si="111"/>
        <v>0</v>
      </c>
      <c r="AB197" s="164">
        <f t="shared" si="111"/>
        <v>0</v>
      </c>
      <c r="AC197" s="164">
        <f t="shared" si="111"/>
        <v>0</v>
      </c>
      <c r="AD197" s="164">
        <f t="shared" si="111"/>
        <v>0</v>
      </c>
      <c r="AE197" s="164">
        <f t="shared" si="111"/>
        <v>0</v>
      </c>
      <c r="AF197" s="164">
        <f t="shared" si="111"/>
        <v>0</v>
      </c>
      <c r="AG197" s="164">
        <f t="shared" si="111"/>
        <v>0</v>
      </c>
      <c r="AH197" s="164">
        <f t="shared" si="111"/>
        <v>0</v>
      </c>
      <c r="AI197" s="164">
        <f t="shared" si="111"/>
        <v>0</v>
      </c>
      <c r="AJ197" s="164">
        <f t="shared" si="111"/>
        <v>0</v>
      </c>
      <c r="AK197" s="164">
        <f t="shared" si="111"/>
        <v>0</v>
      </c>
      <c r="AL197" s="164">
        <f t="shared" si="111"/>
        <v>0</v>
      </c>
      <c r="AM197" s="164">
        <f t="shared" si="111"/>
        <v>0</v>
      </c>
    </row>
    <row r="198" spans="1:39" outlineLevel="1">
      <c r="A198" s="100"/>
      <c r="B198" s="100"/>
      <c r="C198" s="100"/>
      <c r="D198" s="179" t="str">
        <f t="shared" si="109"/>
        <v>Software</v>
      </c>
      <c r="E198" s="165" t="str">
        <f>H498</f>
        <v>Airfield</v>
      </c>
      <c r="F198" s="165"/>
      <c r="G198" s="165" t="s">
        <v>60</v>
      </c>
      <c r="H198" s="121"/>
      <c r="I198" s="165"/>
      <c r="J198" s="165"/>
      <c r="K198" s="203"/>
      <c r="L198" s="203"/>
      <c r="M198" s="202"/>
      <c r="N198" s="535"/>
      <c r="O198" s="528">
        <f>N202</f>
        <v>132348.09695488837</v>
      </c>
      <c r="P198" s="164">
        <f t="shared" ref="P198:X198" si="112">O198</f>
        <v>132348.09695488837</v>
      </c>
      <c r="Q198" s="164">
        <f t="shared" si="112"/>
        <v>132348.09695488837</v>
      </c>
      <c r="R198" s="164">
        <f t="shared" si="112"/>
        <v>132348.09695488837</v>
      </c>
      <c r="S198" s="164">
        <f t="shared" si="112"/>
        <v>132348.09695488837</v>
      </c>
      <c r="T198" s="164">
        <f t="shared" si="112"/>
        <v>132348.09695488837</v>
      </c>
      <c r="U198" s="164">
        <f t="shared" si="112"/>
        <v>132348.09695488837</v>
      </c>
      <c r="V198" s="164">
        <f t="shared" si="112"/>
        <v>132348.09695488837</v>
      </c>
      <c r="W198" s="164">
        <f t="shared" si="112"/>
        <v>132348.09695488837</v>
      </c>
      <c r="X198" s="164">
        <f t="shared" si="112"/>
        <v>132348.09695488837</v>
      </c>
      <c r="Y198" s="164">
        <f t="shared" ref="Y198:AM198" si="113">X198</f>
        <v>132348.09695488837</v>
      </c>
      <c r="Z198" s="164">
        <f t="shared" si="113"/>
        <v>132348.09695488837</v>
      </c>
      <c r="AA198" s="164">
        <f t="shared" si="113"/>
        <v>132348.09695488837</v>
      </c>
      <c r="AB198" s="164">
        <f t="shared" si="113"/>
        <v>132348.09695488837</v>
      </c>
      <c r="AC198" s="164">
        <f t="shared" si="113"/>
        <v>132348.09695488837</v>
      </c>
      <c r="AD198" s="164">
        <f t="shared" si="113"/>
        <v>132348.09695488837</v>
      </c>
      <c r="AE198" s="164">
        <f t="shared" si="113"/>
        <v>132348.09695488837</v>
      </c>
      <c r="AF198" s="164">
        <f t="shared" si="113"/>
        <v>132348.09695488837</v>
      </c>
      <c r="AG198" s="164">
        <f t="shared" si="113"/>
        <v>132348.09695488837</v>
      </c>
      <c r="AH198" s="164">
        <f t="shared" si="113"/>
        <v>132348.09695488837</v>
      </c>
      <c r="AI198" s="164">
        <f t="shared" si="113"/>
        <v>132348.09695488837</v>
      </c>
      <c r="AJ198" s="164">
        <f t="shared" si="113"/>
        <v>132348.09695488837</v>
      </c>
      <c r="AK198" s="164">
        <f t="shared" si="113"/>
        <v>132348.09695488837</v>
      </c>
      <c r="AL198" s="164">
        <f t="shared" si="113"/>
        <v>132348.09695488837</v>
      </c>
      <c r="AM198" s="164">
        <f t="shared" si="113"/>
        <v>132348.09695488837</v>
      </c>
    </row>
    <row r="199" spans="1:39" outlineLevel="1">
      <c r="A199" s="100"/>
      <c r="B199" s="100"/>
      <c r="C199" s="100"/>
      <c r="D199" s="179" t="str">
        <f t="shared" si="109"/>
        <v>Software</v>
      </c>
      <c r="E199" s="165" t="str">
        <f>H498</f>
        <v>Airfield</v>
      </c>
      <c r="F199" s="165"/>
      <c r="G199" s="165" t="s">
        <v>79</v>
      </c>
      <c r="H199" s="121"/>
      <c r="I199" s="165"/>
      <c r="J199" s="165"/>
      <c r="K199" s="203"/>
      <c r="L199" s="203"/>
      <c r="M199" s="202"/>
      <c r="N199" s="535"/>
      <c r="O199" s="197">
        <f t="shared" ref="O199:X199" si="114">N201</f>
        <v>0</v>
      </c>
      <c r="P199" s="164">
        <f t="shared" si="114"/>
        <v>33087.024238722093</v>
      </c>
      <c r="Q199" s="164">
        <f t="shared" si="114"/>
        <v>66174.048477444187</v>
      </c>
      <c r="R199" s="164">
        <f t="shared" si="114"/>
        <v>99261.07271616628</v>
      </c>
      <c r="S199" s="164">
        <f t="shared" si="114"/>
        <v>132348.09695488837</v>
      </c>
      <c r="T199" s="164">
        <f t="shared" si="114"/>
        <v>132348.09695488837</v>
      </c>
      <c r="U199" s="164">
        <f t="shared" si="114"/>
        <v>132348.09695488837</v>
      </c>
      <c r="V199" s="164">
        <f t="shared" si="114"/>
        <v>132348.09695488837</v>
      </c>
      <c r="W199" s="164">
        <f t="shared" si="114"/>
        <v>132348.09695488837</v>
      </c>
      <c r="X199" s="164">
        <f t="shared" si="114"/>
        <v>132348.09695488837</v>
      </c>
      <c r="Y199" s="164">
        <f t="shared" ref="Y199:AM199" si="115">X201</f>
        <v>132348.09695488837</v>
      </c>
      <c r="Z199" s="164">
        <f t="shared" si="115"/>
        <v>132348.09695488837</v>
      </c>
      <c r="AA199" s="164">
        <f t="shared" si="115"/>
        <v>132348.09695488837</v>
      </c>
      <c r="AB199" s="164">
        <f t="shared" si="115"/>
        <v>132348.09695488837</v>
      </c>
      <c r="AC199" s="164">
        <f t="shared" si="115"/>
        <v>132348.09695488837</v>
      </c>
      <c r="AD199" s="164">
        <f t="shared" si="115"/>
        <v>132348.09695488837</v>
      </c>
      <c r="AE199" s="164">
        <f t="shared" si="115"/>
        <v>132348.09695488837</v>
      </c>
      <c r="AF199" s="164">
        <f t="shared" si="115"/>
        <v>132348.09695488837</v>
      </c>
      <c r="AG199" s="164">
        <f t="shared" si="115"/>
        <v>132348.09695488837</v>
      </c>
      <c r="AH199" s="164">
        <f t="shared" si="115"/>
        <v>132348.09695488837</v>
      </c>
      <c r="AI199" s="164">
        <f t="shared" si="115"/>
        <v>132348.09695488837</v>
      </c>
      <c r="AJ199" s="164">
        <f t="shared" si="115"/>
        <v>132348.09695488837</v>
      </c>
      <c r="AK199" s="164">
        <f t="shared" si="115"/>
        <v>132348.09695488837</v>
      </c>
      <c r="AL199" s="164">
        <f t="shared" si="115"/>
        <v>132348.09695488837</v>
      </c>
      <c r="AM199" s="164">
        <f t="shared" si="115"/>
        <v>132348.09695488837</v>
      </c>
    </row>
    <row r="200" spans="1:39" outlineLevel="1">
      <c r="A200" s="100"/>
      <c r="B200" s="100"/>
      <c r="C200" s="100"/>
      <c r="D200" s="179" t="str">
        <f t="shared" si="109"/>
        <v>Software</v>
      </c>
      <c r="E200" s="165" t="str">
        <f>H498</f>
        <v>Airfield</v>
      </c>
      <c r="F200" s="165"/>
      <c r="G200" s="165" t="s">
        <v>78</v>
      </c>
      <c r="H200" s="121"/>
      <c r="I200" s="165"/>
      <c r="J200" s="165"/>
      <c r="K200" s="203"/>
      <c r="L200" s="203"/>
      <c r="M200" s="202"/>
      <c r="N200" s="535"/>
      <c r="O200" s="197">
        <f>IFERROR(MIN(O197,O198/'Asset base'!O$106),0)</f>
        <v>33087.024238722093</v>
      </c>
      <c r="P200" s="164">
        <f>IFERROR(MIN(P197,P198/'Asset base'!P$106),0)</f>
        <v>33087.024238722093</v>
      </c>
      <c r="Q200" s="164">
        <f>IFERROR(MIN(Q197,Q198/'Asset base'!Q$106),0)</f>
        <v>33087.024238722093</v>
      </c>
      <c r="R200" s="164">
        <f>IFERROR(MIN(R197,R198/'Asset base'!R$106),0)</f>
        <v>33087.024238722093</v>
      </c>
      <c r="S200" s="164">
        <f>IFERROR(MIN(S197,S198/'Asset base'!S$106),0)</f>
        <v>0</v>
      </c>
      <c r="T200" s="164">
        <f>IFERROR(MIN(T197,T198/'Asset base'!T$106),0)</f>
        <v>0</v>
      </c>
      <c r="U200" s="164">
        <f>IFERROR(MIN(U197,U198/'Asset base'!U$106),0)</f>
        <v>0</v>
      </c>
      <c r="V200" s="164">
        <f>IFERROR(MIN(V197,V198/'Asset base'!V$106),0)</f>
        <v>0</v>
      </c>
      <c r="W200" s="164">
        <f>IFERROR(MIN(W197,W198/'Asset base'!W$106),0)</f>
        <v>0</v>
      </c>
      <c r="X200" s="164">
        <f>IFERROR(MIN(X197,X198/'Asset base'!X$106),0)</f>
        <v>0</v>
      </c>
      <c r="Y200" s="164">
        <f>IFERROR(MIN(Y197,Y198/'Asset base'!Y$106),0)</f>
        <v>0</v>
      </c>
      <c r="Z200" s="164">
        <f>IFERROR(MIN(Z197,Z198/'Asset base'!Z$106),0)</f>
        <v>0</v>
      </c>
      <c r="AA200" s="164">
        <f>IFERROR(MIN(AA197,AA198/'Asset base'!AA$106),0)</f>
        <v>0</v>
      </c>
      <c r="AB200" s="164">
        <f>IFERROR(MIN(AB197,AB198/'Asset base'!AB$106),0)</f>
        <v>0</v>
      </c>
      <c r="AC200" s="164">
        <f>IFERROR(MIN(AC197,AC198/'Asset base'!AC$106),0)</f>
        <v>0</v>
      </c>
      <c r="AD200" s="164">
        <f>IFERROR(MIN(AD197,AD198/'Asset base'!AD$106),0)</f>
        <v>0</v>
      </c>
      <c r="AE200" s="164">
        <f>IFERROR(MIN(AE197,AE198/'Asset base'!AE$106),0)</f>
        <v>0</v>
      </c>
      <c r="AF200" s="164">
        <f>IFERROR(MIN(AF197,AF198/'Asset base'!AF$106),0)</f>
        <v>0</v>
      </c>
      <c r="AG200" s="164">
        <f>IFERROR(MIN(AG197,AG198/'Asset base'!AG$106),0)</f>
        <v>0</v>
      </c>
      <c r="AH200" s="164">
        <f>IFERROR(MIN(AH197,AH198/'Asset base'!AH$106),0)</f>
        <v>0</v>
      </c>
      <c r="AI200" s="164">
        <f>IFERROR(MIN(AI197,AI198/'Asset base'!AI$106),0)</f>
        <v>0</v>
      </c>
      <c r="AJ200" s="164">
        <f>IFERROR(MIN(AJ197,AJ198/'Asset base'!AJ$106),0)</f>
        <v>0</v>
      </c>
      <c r="AK200" s="164">
        <f>IFERROR(MIN(AK197,AK198/'Asset base'!AK$106),0)</f>
        <v>0</v>
      </c>
      <c r="AL200" s="164">
        <f>IFERROR(MIN(AL197,AL198/'Asset base'!AL$106),0)</f>
        <v>0</v>
      </c>
      <c r="AM200" s="164">
        <f>IFERROR(MIN(AM197,AM198/'Asset base'!AM$106),0)</f>
        <v>0</v>
      </c>
    </row>
    <row r="201" spans="1:39" outlineLevel="1">
      <c r="A201" s="100"/>
      <c r="B201" s="100"/>
      <c r="C201" s="100"/>
      <c r="D201" s="179" t="str">
        <f t="shared" si="109"/>
        <v>Software</v>
      </c>
      <c r="E201" s="165" t="str">
        <f>H498</f>
        <v>Airfield</v>
      </c>
      <c r="F201" s="165"/>
      <c r="G201" s="165" t="s">
        <v>77</v>
      </c>
      <c r="H201" s="121"/>
      <c r="I201" s="165"/>
      <c r="J201" s="165"/>
      <c r="K201" s="302"/>
      <c r="L201" s="302"/>
      <c r="M201" s="315"/>
      <c r="N201" s="535"/>
      <c r="O201" s="197">
        <f t="shared" ref="O201:X201" si="116">SUM(O199:O200)</f>
        <v>33087.024238722093</v>
      </c>
      <c r="P201" s="164">
        <f t="shared" si="116"/>
        <v>66174.048477444187</v>
      </c>
      <c r="Q201" s="164">
        <f t="shared" si="116"/>
        <v>99261.07271616628</v>
      </c>
      <c r="R201" s="164">
        <f t="shared" si="116"/>
        <v>132348.09695488837</v>
      </c>
      <c r="S201" s="164">
        <f t="shared" si="116"/>
        <v>132348.09695488837</v>
      </c>
      <c r="T201" s="164">
        <f t="shared" si="116"/>
        <v>132348.09695488837</v>
      </c>
      <c r="U201" s="164">
        <f t="shared" si="116"/>
        <v>132348.09695488837</v>
      </c>
      <c r="V201" s="164">
        <f t="shared" si="116"/>
        <v>132348.09695488837</v>
      </c>
      <c r="W201" s="164">
        <f t="shared" si="116"/>
        <v>132348.09695488837</v>
      </c>
      <c r="X201" s="164">
        <f t="shared" si="116"/>
        <v>132348.09695488837</v>
      </c>
      <c r="Y201" s="164">
        <f>SUM(Y199:Y200)</f>
        <v>132348.09695488837</v>
      </c>
      <c r="Z201" s="164">
        <f t="shared" ref="Z201:AM201" si="117">SUM(Z199:Z200)</f>
        <v>132348.09695488837</v>
      </c>
      <c r="AA201" s="164">
        <f t="shared" si="117"/>
        <v>132348.09695488837</v>
      </c>
      <c r="AB201" s="164">
        <f t="shared" si="117"/>
        <v>132348.09695488837</v>
      </c>
      <c r="AC201" s="164">
        <f t="shared" si="117"/>
        <v>132348.09695488837</v>
      </c>
      <c r="AD201" s="164">
        <f t="shared" si="117"/>
        <v>132348.09695488837</v>
      </c>
      <c r="AE201" s="164">
        <f t="shared" si="117"/>
        <v>132348.09695488837</v>
      </c>
      <c r="AF201" s="164">
        <f t="shared" si="117"/>
        <v>132348.09695488837</v>
      </c>
      <c r="AG201" s="164">
        <f t="shared" si="117"/>
        <v>132348.09695488837</v>
      </c>
      <c r="AH201" s="164">
        <f t="shared" si="117"/>
        <v>132348.09695488837</v>
      </c>
      <c r="AI201" s="164">
        <f t="shared" si="117"/>
        <v>132348.09695488837</v>
      </c>
      <c r="AJ201" s="164">
        <f t="shared" si="117"/>
        <v>132348.09695488837</v>
      </c>
      <c r="AK201" s="164">
        <f t="shared" si="117"/>
        <v>132348.09695488837</v>
      </c>
      <c r="AL201" s="164">
        <f t="shared" si="117"/>
        <v>132348.09695488837</v>
      </c>
      <c r="AM201" s="164">
        <f t="shared" si="117"/>
        <v>132348.09695488837</v>
      </c>
    </row>
    <row r="202" spans="1:39" outlineLevel="1">
      <c r="A202" s="100"/>
      <c r="B202" s="100"/>
      <c r="C202" s="100"/>
      <c r="D202" s="179" t="str">
        <f t="shared" si="109"/>
        <v>Software</v>
      </c>
      <c r="E202" s="165" t="str">
        <f>H498</f>
        <v>Airfield</v>
      </c>
      <c r="F202" s="165"/>
      <c r="G202" s="200" t="s">
        <v>76</v>
      </c>
      <c r="H202" s="201"/>
      <c r="I202" s="200"/>
      <c r="J202" s="200"/>
      <c r="K202" s="198">
        <f t="shared" ref="K202:S202" si="118">K198-K201</f>
        <v>0</v>
      </c>
      <c r="L202" s="198">
        <f t="shared" si="118"/>
        <v>0</v>
      </c>
      <c r="M202" s="227">
        <f>N197</f>
        <v>0</v>
      </c>
      <c r="N202" s="541">
        <f>'[7]2008-2012 Asset Mov''t Revised'!$R$83</f>
        <v>132348.09695488837</v>
      </c>
      <c r="O202" s="199">
        <f t="shared" si="118"/>
        <v>99261.07271616628</v>
      </c>
      <c r="P202" s="198">
        <f t="shared" si="118"/>
        <v>66174.048477444187</v>
      </c>
      <c r="Q202" s="198">
        <f t="shared" si="118"/>
        <v>33087.024238722093</v>
      </c>
      <c r="R202" s="198">
        <f t="shared" si="118"/>
        <v>0</v>
      </c>
      <c r="S202" s="198">
        <f t="shared" si="118"/>
        <v>0</v>
      </c>
      <c r="T202" s="198">
        <f t="shared" ref="T202:AM202" si="119">T198-T201</f>
        <v>0</v>
      </c>
      <c r="U202" s="198">
        <f t="shared" si="119"/>
        <v>0</v>
      </c>
      <c r="V202" s="198">
        <f t="shared" si="119"/>
        <v>0</v>
      </c>
      <c r="W202" s="198">
        <f t="shared" si="119"/>
        <v>0</v>
      </c>
      <c r="X202" s="198">
        <f t="shared" si="119"/>
        <v>0</v>
      </c>
      <c r="Y202" s="198">
        <f t="shared" si="119"/>
        <v>0</v>
      </c>
      <c r="Z202" s="198">
        <f t="shared" si="119"/>
        <v>0</v>
      </c>
      <c r="AA202" s="198">
        <f t="shared" si="119"/>
        <v>0</v>
      </c>
      <c r="AB202" s="198">
        <f t="shared" si="119"/>
        <v>0</v>
      </c>
      <c r="AC202" s="198">
        <f t="shared" si="119"/>
        <v>0</v>
      </c>
      <c r="AD202" s="198">
        <f t="shared" si="119"/>
        <v>0</v>
      </c>
      <c r="AE202" s="198">
        <f t="shared" si="119"/>
        <v>0</v>
      </c>
      <c r="AF202" s="198">
        <f t="shared" si="119"/>
        <v>0</v>
      </c>
      <c r="AG202" s="198">
        <f t="shared" si="119"/>
        <v>0</v>
      </c>
      <c r="AH202" s="198">
        <f t="shared" si="119"/>
        <v>0</v>
      </c>
      <c r="AI202" s="198">
        <f t="shared" si="119"/>
        <v>0</v>
      </c>
      <c r="AJ202" s="198">
        <f t="shared" si="119"/>
        <v>0</v>
      </c>
      <c r="AK202" s="198">
        <f t="shared" si="119"/>
        <v>0</v>
      </c>
      <c r="AL202" s="198">
        <f t="shared" si="119"/>
        <v>0</v>
      </c>
      <c r="AM202" s="198">
        <f t="shared" si="119"/>
        <v>0</v>
      </c>
    </row>
    <row r="203" spans="1:39" outlineLevel="1">
      <c r="A203" s="100"/>
      <c r="B203" s="100"/>
      <c r="C203" s="100"/>
      <c r="D203" s="179"/>
      <c r="E203" s="165"/>
      <c r="F203" s="165"/>
      <c r="G203" s="165"/>
      <c r="H203" s="121"/>
      <c r="I203" s="165"/>
      <c r="J203" s="165"/>
      <c r="K203" s="164"/>
      <c r="L203" s="164"/>
      <c r="M203" s="227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</row>
    <row r="204" spans="1:39" outlineLevel="1"/>
    <row r="205" spans="1:39" outlineLevel="1"/>
    <row r="206" spans="1:39" outlineLevel="1">
      <c r="A206" s="100"/>
      <c r="B206" s="100"/>
      <c r="C206" s="100"/>
      <c r="D206" s="179"/>
      <c r="E206" s="165"/>
      <c r="F206" s="165"/>
      <c r="G206" s="213"/>
      <c r="H206" s="165"/>
      <c r="I206" s="165"/>
      <c r="J206" s="165"/>
      <c r="K206" s="165"/>
      <c r="L206" s="165"/>
      <c r="M206" s="226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</row>
    <row r="207" spans="1:39" ht="15.75" outlineLevel="1">
      <c r="A207" s="100"/>
      <c r="B207" s="100"/>
      <c r="C207" s="100"/>
      <c r="D207" s="179"/>
      <c r="E207" s="165"/>
      <c r="F207" s="165"/>
      <c r="G207" s="89" t="s">
        <v>81</v>
      </c>
      <c r="H207" s="212" t="str">
        <f>H592</f>
        <v>Terminal International</v>
      </c>
      <c r="I207" s="211"/>
      <c r="J207" s="210"/>
      <c r="K207" s="207"/>
      <c r="L207" s="165"/>
      <c r="M207" s="226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</row>
    <row r="208" spans="1:39" outlineLevel="1">
      <c r="A208" s="100"/>
      <c r="B208" s="100"/>
      <c r="C208" s="100"/>
      <c r="D208" s="179"/>
      <c r="E208" s="165"/>
      <c r="F208" s="165"/>
      <c r="G208" s="209"/>
      <c r="H208" s="121"/>
      <c r="I208" s="165"/>
      <c r="J208" s="165"/>
      <c r="K208" s="207"/>
      <c r="L208" s="165"/>
      <c r="M208" s="226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</row>
    <row r="209" spans="1:39" outlineLevel="1">
      <c r="A209" s="100"/>
      <c r="B209" s="100"/>
      <c r="C209" s="100"/>
      <c r="D209" s="179"/>
      <c r="E209" s="165"/>
      <c r="F209" s="165"/>
      <c r="G209" s="206" t="str">
        <f>G594</f>
        <v>Land</v>
      </c>
      <c r="H209" s="121"/>
      <c r="I209" s="165"/>
      <c r="J209" s="165"/>
      <c r="K209" s="207"/>
      <c r="L209" s="165"/>
      <c r="M209" s="226"/>
      <c r="N209" s="48"/>
      <c r="O209" s="48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</row>
    <row r="210" spans="1:39" outlineLevel="1">
      <c r="A210" s="100"/>
      <c r="B210" s="100"/>
      <c r="C210" s="100"/>
      <c r="D210" s="179"/>
      <c r="E210" s="165"/>
      <c r="F210" s="165"/>
      <c r="G210" s="205"/>
      <c r="H210" s="121"/>
      <c r="I210" s="165"/>
      <c r="J210" s="165"/>
      <c r="K210" s="207"/>
      <c r="L210" s="165"/>
      <c r="M210" s="226"/>
      <c r="N210" s="48"/>
      <c r="O210" s="48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</row>
    <row r="211" spans="1:39" outlineLevel="1">
      <c r="A211" s="100"/>
      <c r="B211" s="100"/>
      <c r="C211" s="100"/>
      <c r="D211" s="179" t="str">
        <f t="shared" ref="D211:D216" si="120">$G$500</f>
        <v>Land</v>
      </c>
      <c r="E211" s="165" t="str">
        <f>H592</f>
        <v>Terminal International</v>
      </c>
      <c r="F211" s="165"/>
      <c r="G211" s="165" t="s">
        <v>80</v>
      </c>
      <c r="H211" s="121"/>
      <c r="I211" s="165"/>
      <c r="J211" s="165"/>
      <c r="K211" s="164"/>
      <c r="L211" s="164"/>
      <c r="M211" s="227"/>
      <c r="N211" s="376"/>
      <c r="O211" s="197">
        <f>N216</f>
        <v>291277.10326118825</v>
      </c>
      <c r="P211" s="164">
        <f t="shared" ref="P211:X211" si="121">O216</f>
        <v>291277.10326118825</v>
      </c>
      <c r="Q211" s="164">
        <f t="shared" si="121"/>
        <v>291277.10326118825</v>
      </c>
      <c r="R211" s="164">
        <f t="shared" si="121"/>
        <v>291277.10326118825</v>
      </c>
      <c r="S211" s="164">
        <f t="shared" si="121"/>
        <v>291277.10326118825</v>
      </c>
      <c r="T211" s="164">
        <f t="shared" si="121"/>
        <v>291277.10326118825</v>
      </c>
      <c r="U211" s="164">
        <f t="shared" si="121"/>
        <v>291277.10326118825</v>
      </c>
      <c r="V211" s="164">
        <f t="shared" si="121"/>
        <v>291277.10326118825</v>
      </c>
      <c r="W211" s="164">
        <f t="shared" si="121"/>
        <v>291277.10326118825</v>
      </c>
      <c r="X211" s="164">
        <f t="shared" si="121"/>
        <v>291277.10326118825</v>
      </c>
      <c r="Y211" s="164">
        <f t="shared" ref="Y211:AM211" si="122">X216</f>
        <v>291277.10326118825</v>
      </c>
      <c r="Z211" s="164">
        <f t="shared" si="122"/>
        <v>291277.10326118825</v>
      </c>
      <c r="AA211" s="164">
        <f t="shared" si="122"/>
        <v>291277.10326118825</v>
      </c>
      <c r="AB211" s="164">
        <f t="shared" si="122"/>
        <v>291277.10326118825</v>
      </c>
      <c r="AC211" s="164">
        <f t="shared" si="122"/>
        <v>291277.10326118825</v>
      </c>
      <c r="AD211" s="164">
        <f t="shared" si="122"/>
        <v>291277.10326118825</v>
      </c>
      <c r="AE211" s="164">
        <f t="shared" si="122"/>
        <v>291277.10326118825</v>
      </c>
      <c r="AF211" s="164">
        <f t="shared" si="122"/>
        <v>291277.10326118825</v>
      </c>
      <c r="AG211" s="164">
        <f t="shared" si="122"/>
        <v>291277.10326118825</v>
      </c>
      <c r="AH211" s="164">
        <f t="shared" si="122"/>
        <v>291277.10326118825</v>
      </c>
      <c r="AI211" s="164">
        <f t="shared" si="122"/>
        <v>291277.10326118825</v>
      </c>
      <c r="AJ211" s="164">
        <f t="shared" si="122"/>
        <v>291277.10326118825</v>
      </c>
      <c r="AK211" s="164">
        <f t="shared" si="122"/>
        <v>291277.10326118825</v>
      </c>
      <c r="AL211" s="164">
        <f t="shared" si="122"/>
        <v>291277.10326118825</v>
      </c>
      <c r="AM211" s="164">
        <f t="shared" si="122"/>
        <v>291277.10326118825</v>
      </c>
    </row>
    <row r="212" spans="1:39" outlineLevel="1">
      <c r="A212" s="100"/>
      <c r="B212" s="100"/>
      <c r="C212" s="100"/>
      <c r="D212" s="179" t="str">
        <f t="shared" si="120"/>
        <v>Land</v>
      </c>
      <c r="E212" s="165" t="str">
        <f>H592</f>
        <v>Terminal International</v>
      </c>
      <c r="F212" s="165"/>
      <c r="G212" s="165" t="s">
        <v>60</v>
      </c>
      <c r="H212" s="121"/>
      <c r="I212" s="165"/>
      <c r="J212" s="165"/>
      <c r="K212" s="303"/>
      <c r="L212" s="303"/>
      <c r="M212" s="304"/>
      <c r="N212" s="376"/>
      <c r="O212" s="528">
        <f>N216</f>
        <v>291277.10326118825</v>
      </c>
      <c r="P212" s="164">
        <f t="shared" ref="P212:X212" si="123">O212</f>
        <v>291277.10326118825</v>
      </c>
      <c r="Q212" s="164">
        <f t="shared" si="123"/>
        <v>291277.10326118825</v>
      </c>
      <c r="R212" s="164">
        <f t="shared" si="123"/>
        <v>291277.10326118825</v>
      </c>
      <c r="S212" s="164">
        <f t="shared" si="123"/>
        <v>291277.10326118825</v>
      </c>
      <c r="T212" s="164">
        <f t="shared" si="123"/>
        <v>291277.10326118825</v>
      </c>
      <c r="U212" s="164">
        <f t="shared" si="123"/>
        <v>291277.10326118825</v>
      </c>
      <c r="V212" s="164">
        <f t="shared" si="123"/>
        <v>291277.10326118825</v>
      </c>
      <c r="W212" s="164">
        <f t="shared" si="123"/>
        <v>291277.10326118825</v>
      </c>
      <c r="X212" s="164">
        <f t="shared" si="123"/>
        <v>291277.10326118825</v>
      </c>
      <c r="Y212" s="164">
        <f t="shared" ref="Y212:AM212" si="124">X212</f>
        <v>291277.10326118825</v>
      </c>
      <c r="Z212" s="164">
        <f t="shared" si="124"/>
        <v>291277.10326118825</v>
      </c>
      <c r="AA212" s="164">
        <f t="shared" si="124"/>
        <v>291277.10326118825</v>
      </c>
      <c r="AB212" s="164">
        <f t="shared" si="124"/>
        <v>291277.10326118825</v>
      </c>
      <c r="AC212" s="164">
        <f t="shared" si="124"/>
        <v>291277.10326118825</v>
      </c>
      <c r="AD212" s="164">
        <f t="shared" si="124"/>
        <v>291277.10326118825</v>
      </c>
      <c r="AE212" s="164">
        <f t="shared" si="124"/>
        <v>291277.10326118825</v>
      </c>
      <c r="AF212" s="164">
        <f t="shared" si="124"/>
        <v>291277.10326118825</v>
      </c>
      <c r="AG212" s="164">
        <f t="shared" si="124"/>
        <v>291277.10326118825</v>
      </c>
      <c r="AH212" s="164">
        <f t="shared" si="124"/>
        <v>291277.10326118825</v>
      </c>
      <c r="AI212" s="164">
        <f t="shared" si="124"/>
        <v>291277.10326118825</v>
      </c>
      <c r="AJ212" s="164">
        <f t="shared" si="124"/>
        <v>291277.10326118825</v>
      </c>
      <c r="AK212" s="164">
        <f t="shared" si="124"/>
        <v>291277.10326118825</v>
      </c>
      <c r="AL212" s="164">
        <f t="shared" si="124"/>
        <v>291277.10326118825</v>
      </c>
      <c r="AM212" s="164">
        <f t="shared" si="124"/>
        <v>291277.10326118825</v>
      </c>
    </row>
    <row r="213" spans="1:39" outlineLevel="1">
      <c r="A213" s="100"/>
      <c r="B213" s="100"/>
      <c r="C213" s="100"/>
      <c r="D213" s="179" t="str">
        <f t="shared" si="120"/>
        <v>Land</v>
      </c>
      <c r="E213" s="165" t="str">
        <f>H592</f>
        <v>Terminal International</v>
      </c>
      <c r="F213" s="165"/>
      <c r="G213" s="165" t="s">
        <v>79</v>
      </c>
      <c r="H213" s="121"/>
      <c r="I213" s="165"/>
      <c r="J213" s="165"/>
      <c r="K213" s="303"/>
      <c r="L213" s="303"/>
      <c r="M213" s="202"/>
      <c r="N213" s="376"/>
      <c r="O213" s="197">
        <f t="shared" ref="O213:X213" si="125">N215</f>
        <v>0</v>
      </c>
      <c r="P213" s="164">
        <f t="shared" si="125"/>
        <v>0</v>
      </c>
      <c r="Q213" s="164">
        <f t="shared" si="125"/>
        <v>0</v>
      </c>
      <c r="R213" s="164">
        <f t="shared" si="125"/>
        <v>0</v>
      </c>
      <c r="S213" s="164">
        <f t="shared" si="125"/>
        <v>0</v>
      </c>
      <c r="T213" s="164">
        <f t="shared" si="125"/>
        <v>0</v>
      </c>
      <c r="U213" s="164">
        <f t="shared" si="125"/>
        <v>0</v>
      </c>
      <c r="V213" s="164">
        <f t="shared" si="125"/>
        <v>0</v>
      </c>
      <c r="W213" s="164">
        <f t="shared" si="125"/>
        <v>0</v>
      </c>
      <c r="X213" s="164">
        <f t="shared" si="125"/>
        <v>0</v>
      </c>
      <c r="Y213" s="164">
        <f t="shared" ref="Y213:AM213" si="126">X215</f>
        <v>0</v>
      </c>
      <c r="Z213" s="164">
        <f t="shared" si="126"/>
        <v>0</v>
      </c>
      <c r="AA213" s="164">
        <f t="shared" si="126"/>
        <v>0</v>
      </c>
      <c r="AB213" s="164">
        <f t="shared" si="126"/>
        <v>0</v>
      </c>
      <c r="AC213" s="164">
        <f t="shared" si="126"/>
        <v>0</v>
      </c>
      <c r="AD213" s="164">
        <f t="shared" si="126"/>
        <v>0</v>
      </c>
      <c r="AE213" s="164">
        <f t="shared" si="126"/>
        <v>0</v>
      </c>
      <c r="AF213" s="164">
        <f t="shared" si="126"/>
        <v>0</v>
      </c>
      <c r="AG213" s="164">
        <f t="shared" si="126"/>
        <v>0</v>
      </c>
      <c r="AH213" s="164">
        <f t="shared" si="126"/>
        <v>0</v>
      </c>
      <c r="AI213" s="164">
        <f t="shared" si="126"/>
        <v>0</v>
      </c>
      <c r="AJ213" s="164">
        <f t="shared" si="126"/>
        <v>0</v>
      </c>
      <c r="AK213" s="164">
        <f t="shared" si="126"/>
        <v>0</v>
      </c>
      <c r="AL213" s="164">
        <f t="shared" si="126"/>
        <v>0</v>
      </c>
      <c r="AM213" s="164">
        <f t="shared" si="126"/>
        <v>0</v>
      </c>
    </row>
    <row r="214" spans="1:39" outlineLevel="1">
      <c r="A214" s="100"/>
      <c r="B214" s="100"/>
      <c r="C214" s="100"/>
      <c r="D214" s="179" t="str">
        <f t="shared" si="120"/>
        <v>Land</v>
      </c>
      <c r="E214" s="165" t="str">
        <f>H592</f>
        <v>Terminal International</v>
      </c>
      <c r="F214" s="165"/>
      <c r="G214" s="165" t="s">
        <v>78</v>
      </c>
      <c r="H214" s="121"/>
      <c r="I214" s="165"/>
      <c r="J214" s="165"/>
      <c r="K214" s="303"/>
      <c r="L214" s="303"/>
      <c r="M214" s="202"/>
      <c r="N214" s="376"/>
      <c r="O214" s="197">
        <f>IFERROR(MIN(O211,O212/'Asset base'!O$97),0)</f>
        <v>0</v>
      </c>
      <c r="P214" s="164">
        <f>IFERROR(MIN(P211,P212/'Asset base'!P$97),0)</f>
        <v>0</v>
      </c>
      <c r="Q214" s="164">
        <f>IFERROR(MIN(Q211,Q212/'Asset base'!Q$97),0)</f>
        <v>0</v>
      </c>
      <c r="R214" s="164">
        <f>IFERROR(MIN(R211,R212/'Asset base'!R$97),0)</f>
        <v>0</v>
      </c>
      <c r="S214" s="164">
        <f>IFERROR(MIN(S211,S212/'Asset base'!S$97),0)</f>
        <v>0</v>
      </c>
      <c r="T214" s="164">
        <f>IFERROR(MIN(T211,T212/'Asset base'!T$97),0)</f>
        <v>0</v>
      </c>
      <c r="U214" s="164">
        <f>IFERROR(MIN(U211,U212/'Asset base'!U$97),0)</f>
        <v>0</v>
      </c>
      <c r="V214" s="164">
        <f>IFERROR(MIN(V211,V212/'Asset base'!V$97),0)</f>
        <v>0</v>
      </c>
      <c r="W214" s="164">
        <f>IFERROR(MIN(W211,W212/'Asset base'!W$97),0)</f>
        <v>0</v>
      </c>
      <c r="X214" s="164">
        <f>IFERROR(MIN(X211,X212/'Asset base'!X$97),0)</f>
        <v>0</v>
      </c>
      <c r="Y214" s="164">
        <f>IFERROR(MIN(Y211,Y212/'Asset base'!Y$97),0)</f>
        <v>0</v>
      </c>
      <c r="Z214" s="164">
        <f>IFERROR(MIN(Z211,Z212/'Asset base'!Z$97),0)</f>
        <v>0</v>
      </c>
      <c r="AA214" s="164">
        <f>IFERROR(MIN(AA211,AA212/'Asset base'!AA$97),0)</f>
        <v>0</v>
      </c>
      <c r="AB214" s="164">
        <f>IFERROR(MIN(AB211,AB212/'Asset base'!AB$97),0)</f>
        <v>0</v>
      </c>
      <c r="AC214" s="164">
        <f>IFERROR(MIN(AC211,AC212/'Asset base'!AC$97),0)</f>
        <v>0</v>
      </c>
      <c r="AD214" s="164">
        <f>IFERROR(MIN(AD211,AD212/'Asset base'!AD$97),0)</f>
        <v>0</v>
      </c>
      <c r="AE214" s="164">
        <f>IFERROR(MIN(AE211,AE212/'Asset base'!AE$97),0)</f>
        <v>0</v>
      </c>
      <c r="AF214" s="164">
        <f>IFERROR(MIN(AF211,AF212/'Asset base'!AF$97),0)</f>
        <v>0</v>
      </c>
      <c r="AG214" s="164">
        <f>IFERROR(MIN(AG211,AG212/'Asset base'!AG$97),0)</f>
        <v>0</v>
      </c>
      <c r="AH214" s="164">
        <f>IFERROR(MIN(AH211,AH212/'Asset base'!AH$97),0)</f>
        <v>0</v>
      </c>
      <c r="AI214" s="164">
        <f>IFERROR(MIN(AI211,AI212/'Asset base'!AI$97),0)</f>
        <v>0</v>
      </c>
      <c r="AJ214" s="164">
        <f>IFERROR(MIN(AJ211,AJ212/'Asset base'!AJ$97),0)</f>
        <v>0</v>
      </c>
      <c r="AK214" s="164">
        <f>IFERROR(MIN(AK211,AK212/'Asset base'!AK$97),0)</f>
        <v>0</v>
      </c>
      <c r="AL214" s="164">
        <f>IFERROR(MIN(AL211,AL212/'Asset base'!AL$97),0)</f>
        <v>0</v>
      </c>
      <c r="AM214" s="164">
        <f>IFERROR(MIN(AM211,AM212/'Asset base'!AM$97),0)</f>
        <v>0</v>
      </c>
    </row>
    <row r="215" spans="1:39" outlineLevel="1">
      <c r="A215" s="100"/>
      <c r="B215" s="100"/>
      <c r="C215" s="100"/>
      <c r="D215" s="179" t="str">
        <f t="shared" si="120"/>
        <v>Land</v>
      </c>
      <c r="E215" s="165" t="str">
        <f>H592</f>
        <v>Terminal International</v>
      </c>
      <c r="F215" s="165"/>
      <c r="G215" s="165" t="s">
        <v>77</v>
      </c>
      <c r="H215" s="121"/>
      <c r="I215" s="165"/>
      <c r="J215" s="165"/>
      <c r="K215" s="305"/>
      <c r="L215" s="305"/>
      <c r="M215" s="306"/>
      <c r="N215" s="376"/>
      <c r="O215" s="197">
        <f t="shared" ref="O215:X215" si="127">SUM(O213:O214)</f>
        <v>0</v>
      </c>
      <c r="P215" s="164">
        <f t="shared" si="127"/>
        <v>0</v>
      </c>
      <c r="Q215" s="164">
        <f t="shared" si="127"/>
        <v>0</v>
      </c>
      <c r="R215" s="164">
        <f t="shared" si="127"/>
        <v>0</v>
      </c>
      <c r="S215" s="164">
        <f t="shared" si="127"/>
        <v>0</v>
      </c>
      <c r="T215" s="164">
        <f t="shared" si="127"/>
        <v>0</v>
      </c>
      <c r="U215" s="164">
        <f t="shared" si="127"/>
        <v>0</v>
      </c>
      <c r="V215" s="164">
        <f t="shared" si="127"/>
        <v>0</v>
      </c>
      <c r="W215" s="164">
        <f t="shared" si="127"/>
        <v>0</v>
      </c>
      <c r="X215" s="164">
        <f t="shared" si="127"/>
        <v>0</v>
      </c>
      <c r="Y215" s="164">
        <f>SUM(Y213:Y214)</f>
        <v>0</v>
      </c>
      <c r="Z215" s="164">
        <f t="shared" ref="Z215:AM215" si="128">SUM(Z213:Z214)</f>
        <v>0</v>
      </c>
      <c r="AA215" s="164">
        <f t="shared" si="128"/>
        <v>0</v>
      </c>
      <c r="AB215" s="164">
        <f t="shared" si="128"/>
        <v>0</v>
      </c>
      <c r="AC215" s="164">
        <f t="shared" si="128"/>
        <v>0</v>
      </c>
      <c r="AD215" s="164">
        <f t="shared" si="128"/>
        <v>0</v>
      </c>
      <c r="AE215" s="164">
        <f t="shared" si="128"/>
        <v>0</v>
      </c>
      <c r="AF215" s="164">
        <f t="shared" si="128"/>
        <v>0</v>
      </c>
      <c r="AG215" s="164">
        <f t="shared" si="128"/>
        <v>0</v>
      </c>
      <c r="AH215" s="164">
        <f t="shared" si="128"/>
        <v>0</v>
      </c>
      <c r="AI215" s="164">
        <f t="shared" si="128"/>
        <v>0</v>
      </c>
      <c r="AJ215" s="164">
        <f t="shared" si="128"/>
        <v>0</v>
      </c>
      <c r="AK215" s="164">
        <f t="shared" si="128"/>
        <v>0</v>
      </c>
      <c r="AL215" s="164">
        <f t="shared" si="128"/>
        <v>0</v>
      </c>
      <c r="AM215" s="164">
        <f t="shared" si="128"/>
        <v>0</v>
      </c>
    </row>
    <row r="216" spans="1:39" outlineLevel="1">
      <c r="A216" s="100"/>
      <c r="B216" s="100"/>
      <c r="C216" s="100"/>
      <c r="D216" s="179" t="str">
        <f t="shared" si="120"/>
        <v>Land</v>
      </c>
      <c r="E216" s="165" t="str">
        <f>H592</f>
        <v>Terminal International</v>
      </c>
      <c r="F216" s="165"/>
      <c r="G216" s="200" t="s">
        <v>76</v>
      </c>
      <c r="H216" s="201"/>
      <c r="I216" s="200"/>
      <c r="J216" s="200"/>
      <c r="K216" s="198">
        <f t="shared" ref="K216:S216" si="129">K212-K215</f>
        <v>0</v>
      </c>
      <c r="L216" s="198">
        <f t="shared" si="129"/>
        <v>0</v>
      </c>
      <c r="M216" s="227">
        <f>N211</f>
        <v>0</v>
      </c>
      <c r="N216" s="541">
        <f>'[7]2008-2012 Asset Mov''t Revised'!$AS$75</f>
        <v>291277.10326118825</v>
      </c>
      <c r="O216" s="198">
        <f t="shared" si="129"/>
        <v>291277.10326118825</v>
      </c>
      <c r="P216" s="198">
        <f t="shared" si="129"/>
        <v>291277.10326118825</v>
      </c>
      <c r="Q216" s="198">
        <f t="shared" si="129"/>
        <v>291277.10326118825</v>
      </c>
      <c r="R216" s="198">
        <f t="shared" si="129"/>
        <v>291277.10326118825</v>
      </c>
      <c r="S216" s="198">
        <f t="shared" si="129"/>
        <v>291277.10326118825</v>
      </c>
      <c r="T216" s="198">
        <f t="shared" ref="T216:AM216" si="130">T212-T215</f>
        <v>291277.10326118825</v>
      </c>
      <c r="U216" s="198">
        <f t="shared" si="130"/>
        <v>291277.10326118825</v>
      </c>
      <c r="V216" s="198">
        <f t="shared" si="130"/>
        <v>291277.10326118825</v>
      </c>
      <c r="W216" s="198">
        <f t="shared" si="130"/>
        <v>291277.10326118825</v>
      </c>
      <c r="X216" s="198">
        <f t="shared" si="130"/>
        <v>291277.10326118825</v>
      </c>
      <c r="Y216" s="198">
        <f t="shared" si="130"/>
        <v>291277.10326118825</v>
      </c>
      <c r="Z216" s="198">
        <f t="shared" si="130"/>
        <v>291277.10326118825</v>
      </c>
      <c r="AA216" s="198">
        <f t="shared" si="130"/>
        <v>291277.10326118825</v>
      </c>
      <c r="AB216" s="198">
        <f t="shared" si="130"/>
        <v>291277.10326118825</v>
      </c>
      <c r="AC216" s="198">
        <f t="shared" si="130"/>
        <v>291277.10326118825</v>
      </c>
      <c r="AD216" s="198">
        <f t="shared" si="130"/>
        <v>291277.10326118825</v>
      </c>
      <c r="AE216" s="198">
        <f t="shared" si="130"/>
        <v>291277.10326118825</v>
      </c>
      <c r="AF216" s="198">
        <f t="shared" si="130"/>
        <v>291277.10326118825</v>
      </c>
      <c r="AG216" s="198">
        <f t="shared" si="130"/>
        <v>291277.10326118825</v>
      </c>
      <c r="AH216" s="198">
        <f t="shared" si="130"/>
        <v>291277.10326118825</v>
      </c>
      <c r="AI216" s="198">
        <f t="shared" si="130"/>
        <v>291277.10326118825</v>
      </c>
      <c r="AJ216" s="198">
        <f t="shared" si="130"/>
        <v>291277.10326118825</v>
      </c>
      <c r="AK216" s="198">
        <f t="shared" si="130"/>
        <v>291277.10326118825</v>
      </c>
      <c r="AL216" s="198">
        <f t="shared" si="130"/>
        <v>291277.10326118825</v>
      </c>
      <c r="AM216" s="198">
        <f t="shared" si="130"/>
        <v>291277.10326118825</v>
      </c>
    </row>
    <row r="217" spans="1:39" outlineLevel="1">
      <c r="A217" s="100"/>
      <c r="B217" s="100"/>
      <c r="C217" s="100"/>
      <c r="D217" s="179"/>
      <c r="E217" s="165"/>
      <c r="F217" s="165"/>
      <c r="G217" s="165"/>
      <c r="H217" s="121"/>
      <c r="I217" s="165"/>
      <c r="J217" s="165"/>
      <c r="K217" s="164"/>
      <c r="L217" s="164"/>
      <c r="M217" s="227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4"/>
      <c r="AG217" s="164"/>
      <c r="AH217" s="164"/>
      <c r="AI217" s="164"/>
      <c r="AJ217" s="164"/>
      <c r="AK217" s="164"/>
      <c r="AL217" s="164"/>
      <c r="AM217" s="164"/>
    </row>
    <row r="218" spans="1:39" outlineLevel="1">
      <c r="A218" s="100"/>
      <c r="B218" s="100"/>
      <c r="C218" s="100"/>
      <c r="D218" s="179"/>
      <c r="E218" s="165"/>
      <c r="F218" s="165"/>
      <c r="G218" s="206" t="str">
        <f>G603</f>
        <v>Buildings</v>
      </c>
      <c r="H218" s="121"/>
      <c r="I218" s="165"/>
      <c r="J218" s="165"/>
      <c r="K218" s="207"/>
      <c r="L218" s="164"/>
      <c r="M218" s="227"/>
      <c r="N218" s="164"/>
      <c r="O218" s="164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</row>
    <row r="219" spans="1:39" outlineLevel="1">
      <c r="A219" s="100"/>
      <c r="B219" s="100"/>
      <c r="C219" s="100"/>
      <c r="D219" s="179"/>
      <c r="E219" s="165"/>
      <c r="F219" s="165"/>
      <c r="G219" s="205"/>
      <c r="H219" s="121"/>
      <c r="I219" s="165"/>
      <c r="J219" s="165"/>
      <c r="K219" s="207"/>
      <c r="L219" s="164"/>
      <c r="M219" s="227"/>
      <c r="N219" s="164"/>
      <c r="O219" s="164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  <c r="AG219" s="165"/>
      <c r="AH219" s="165"/>
      <c r="AI219" s="165"/>
      <c r="AJ219" s="165"/>
      <c r="AK219" s="165"/>
      <c r="AL219" s="165"/>
      <c r="AM219" s="165"/>
    </row>
    <row r="220" spans="1:39" outlineLevel="1">
      <c r="A220" s="100"/>
      <c r="B220" s="100"/>
      <c r="C220" s="100"/>
      <c r="D220" s="179" t="str">
        <f t="shared" ref="D220:D225" si="131">$G$509</f>
        <v>Buildings</v>
      </c>
      <c r="E220" s="165" t="str">
        <f>H592</f>
        <v>Terminal International</v>
      </c>
      <c r="F220" s="165"/>
      <c r="G220" s="165" t="s">
        <v>80</v>
      </c>
      <c r="H220" s="121"/>
      <c r="I220" s="165"/>
      <c r="J220" s="165"/>
      <c r="K220" s="164"/>
      <c r="L220" s="164"/>
      <c r="M220" s="227"/>
      <c r="N220" s="376">
        <f>[2]OUTPUT!N409</f>
        <v>0</v>
      </c>
      <c r="O220" s="164">
        <f>N225</f>
        <v>35988.117213077276</v>
      </c>
      <c r="P220" s="164">
        <f t="shared" ref="P220:X220" si="132">O225</f>
        <v>32389.305491769548</v>
      </c>
      <c r="Q220" s="164">
        <f t="shared" si="132"/>
        <v>28790.493770461821</v>
      </c>
      <c r="R220" s="164">
        <f t="shared" si="132"/>
        <v>25191.682049154093</v>
      </c>
      <c r="S220" s="164">
        <f t="shared" si="132"/>
        <v>21592.870327846365</v>
      </c>
      <c r="T220" s="164">
        <f t="shared" si="132"/>
        <v>17994.058606538638</v>
      </c>
      <c r="U220" s="164">
        <f t="shared" si="132"/>
        <v>14395.24688523091</v>
      </c>
      <c r="V220" s="164">
        <f t="shared" si="132"/>
        <v>10796.435163923183</v>
      </c>
      <c r="W220" s="164">
        <f t="shared" si="132"/>
        <v>7197.6234426154551</v>
      </c>
      <c r="X220" s="164">
        <f t="shared" si="132"/>
        <v>3598.8117213077276</v>
      </c>
      <c r="Y220" s="164">
        <f t="shared" ref="Y220:AM220" si="133">X225</f>
        <v>0</v>
      </c>
      <c r="Z220" s="164">
        <f t="shared" si="133"/>
        <v>0</v>
      </c>
      <c r="AA220" s="164">
        <f t="shared" si="133"/>
        <v>0</v>
      </c>
      <c r="AB220" s="164">
        <f t="shared" si="133"/>
        <v>0</v>
      </c>
      <c r="AC220" s="164">
        <f t="shared" si="133"/>
        <v>0</v>
      </c>
      <c r="AD220" s="164">
        <f t="shared" si="133"/>
        <v>0</v>
      </c>
      <c r="AE220" s="164">
        <f t="shared" si="133"/>
        <v>0</v>
      </c>
      <c r="AF220" s="164">
        <f t="shared" si="133"/>
        <v>0</v>
      </c>
      <c r="AG220" s="164">
        <f t="shared" si="133"/>
        <v>0</v>
      </c>
      <c r="AH220" s="164">
        <f t="shared" si="133"/>
        <v>0</v>
      </c>
      <c r="AI220" s="164">
        <f t="shared" si="133"/>
        <v>0</v>
      </c>
      <c r="AJ220" s="164">
        <f t="shared" si="133"/>
        <v>0</v>
      </c>
      <c r="AK220" s="164">
        <f t="shared" si="133"/>
        <v>0</v>
      </c>
      <c r="AL220" s="164">
        <f t="shared" si="133"/>
        <v>0</v>
      </c>
      <c r="AM220" s="164">
        <f t="shared" si="133"/>
        <v>0</v>
      </c>
    </row>
    <row r="221" spans="1:39" outlineLevel="1">
      <c r="A221" s="100"/>
      <c r="B221" s="100"/>
      <c r="C221" s="100"/>
      <c r="D221" s="179" t="str">
        <f t="shared" si="131"/>
        <v>Buildings</v>
      </c>
      <c r="E221" s="165" t="str">
        <f>H592</f>
        <v>Terminal International</v>
      </c>
      <c r="F221" s="165"/>
      <c r="G221" s="165" t="s">
        <v>60</v>
      </c>
      <c r="H221" s="121"/>
      <c r="I221" s="165"/>
      <c r="J221" s="165"/>
      <c r="K221" s="303"/>
      <c r="L221" s="303"/>
      <c r="M221" s="304"/>
      <c r="N221" s="376">
        <f>[2]OUTPUT!N410</f>
        <v>0</v>
      </c>
      <c r="O221" s="287">
        <f>N225</f>
        <v>35988.117213077276</v>
      </c>
      <c r="P221" s="164">
        <f t="shared" ref="P221:X221" si="134">O221</f>
        <v>35988.117213077276</v>
      </c>
      <c r="Q221" s="164">
        <f t="shared" si="134"/>
        <v>35988.117213077276</v>
      </c>
      <c r="R221" s="164">
        <f t="shared" si="134"/>
        <v>35988.117213077276</v>
      </c>
      <c r="S221" s="164">
        <f t="shared" si="134"/>
        <v>35988.117213077276</v>
      </c>
      <c r="T221" s="164">
        <f t="shared" si="134"/>
        <v>35988.117213077276</v>
      </c>
      <c r="U221" s="164">
        <f t="shared" si="134"/>
        <v>35988.117213077276</v>
      </c>
      <c r="V221" s="164">
        <f t="shared" si="134"/>
        <v>35988.117213077276</v>
      </c>
      <c r="W221" s="164">
        <f t="shared" si="134"/>
        <v>35988.117213077276</v>
      </c>
      <c r="X221" s="164">
        <f t="shared" si="134"/>
        <v>35988.117213077276</v>
      </c>
      <c r="Y221" s="164">
        <f t="shared" ref="Y221:AM221" si="135">X221</f>
        <v>35988.117213077276</v>
      </c>
      <c r="Z221" s="164">
        <f t="shared" si="135"/>
        <v>35988.117213077276</v>
      </c>
      <c r="AA221" s="164">
        <f t="shared" si="135"/>
        <v>35988.117213077276</v>
      </c>
      <c r="AB221" s="164">
        <f t="shared" si="135"/>
        <v>35988.117213077276</v>
      </c>
      <c r="AC221" s="164">
        <f t="shared" si="135"/>
        <v>35988.117213077276</v>
      </c>
      <c r="AD221" s="164">
        <f t="shared" si="135"/>
        <v>35988.117213077276</v>
      </c>
      <c r="AE221" s="164">
        <f t="shared" si="135"/>
        <v>35988.117213077276</v>
      </c>
      <c r="AF221" s="164">
        <f t="shared" si="135"/>
        <v>35988.117213077276</v>
      </c>
      <c r="AG221" s="164">
        <f t="shared" si="135"/>
        <v>35988.117213077276</v>
      </c>
      <c r="AH221" s="164">
        <f t="shared" si="135"/>
        <v>35988.117213077276</v>
      </c>
      <c r="AI221" s="164">
        <f t="shared" si="135"/>
        <v>35988.117213077276</v>
      </c>
      <c r="AJ221" s="164">
        <f t="shared" si="135"/>
        <v>35988.117213077276</v>
      </c>
      <c r="AK221" s="164">
        <f t="shared" si="135"/>
        <v>35988.117213077276</v>
      </c>
      <c r="AL221" s="164">
        <f t="shared" si="135"/>
        <v>35988.117213077276</v>
      </c>
      <c r="AM221" s="164">
        <f t="shared" si="135"/>
        <v>35988.117213077276</v>
      </c>
    </row>
    <row r="222" spans="1:39" outlineLevel="1">
      <c r="A222" s="100"/>
      <c r="B222" s="100"/>
      <c r="C222" s="100"/>
      <c r="D222" s="179" t="str">
        <f t="shared" si="131"/>
        <v>Buildings</v>
      </c>
      <c r="E222" s="165" t="str">
        <f>H592</f>
        <v>Terminal International</v>
      </c>
      <c r="F222" s="165"/>
      <c r="G222" s="165" t="s">
        <v>79</v>
      </c>
      <c r="H222" s="121"/>
      <c r="I222" s="165"/>
      <c r="J222" s="164"/>
      <c r="K222" s="303"/>
      <c r="L222" s="303"/>
      <c r="M222" s="202"/>
      <c r="N222" s="376">
        <f>[2]OUTPUT!N411</f>
        <v>0</v>
      </c>
      <c r="O222" s="164">
        <f t="shared" ref="O222:X222" si="136">N224</f>
        <v>0</v>
      </c>
      <c r="P222" s="164">
        <f t="shared" si="136"/>
        <v>3598.8117213077276</v>
      </c>
      <c r="Q222" s="164">
        <f t="shared" si="136"/>
        <v>7197.6234426154551</v>
      </c>
      <c r="R222" s="164">
        <f t="shared" si="136"/>
        <v>10796.435163923183</v>
      </c>
      <c r="S222" s="164">
        <f t="shared" si="136"/>
        <v>14395.24688523091</v>
      </c>
      <c r="T222" s="164">
        <f t="shared" si="136"/>
        <v>17994.058606538638</v>
      </c>
      <c r="U222" s="164">
        <f t="shared" si="136"/>
        <v>21592.870327846365</v>
      </c>
      <c r="V222" s="164">
        <f t="shared" si="136"/>
        <v>25191.682049154093</v>
      </c>
      <c r="W222" s="164">
        <f t="shared" si="136"/>
        <v>28790.493770461821</v>
      </c>
      <c r="X222" s="164">
        <f t="shared" si="136"/>
        <v>32389.305491769548</v>
      </c>
      <c r="Y222" s="164">
        <f t="shared" ref="Y222:AM222" si="137">X224</f>
        <v>35988.117213077276</v>
      </c>
      <c r="Z222" s="164">
        <f t="shared" si="137"/>
        <v>35988.117213077276</v>
      </c>
      <c r="AA222" s="164">
        <f t="shared" si="137"/>
        <v>35988.117213077276</v>
      </c>
      <c r="AB222" s="164">
        <f t="shared" si="137"/>
        <v>35988.117213077276</v>
      </c>
      <c r="AC222" s="164">
        <f t="shared" si="137"/>
        <v>35988.117213077276</v>
      </c>
      <c r="AD222" s="164">
        <f t="shared" si="137"/>
        <v>35988.117213077276</v>
      </c>
      <c r="AE222" s="164">
        <f t="shared" si="137"/>
        <v>35988.117213077276</v>
      </c>
      <c r="AF222" s="164">
        <f t="shared" si="137"/>
        <v>35988.117213077276</v>
      </c>
      <c r="AG222" s="164">
        <f t="shared" si="137"/>
        <v>35988.117213077276</v>
      </c>
      <c r="AH222" s="164">
        <f t="shared" si="137"/>
        <v>35988.117213077276</v>
      </c>
      <c r="AI222" s="164">
        <f t="shared" si="137"/>
        <v>35988.117213077276</v>
      </c>
      <c r="AJ222" s="164">
        <f t="shared" si="137"/>
        <v>35988.117213077276</v>
      </c>
      <c r="AK222" s="164">
        <f t="shared" si="137"/>
        <v>35988.117213077276</v>
      </c>
      <c r="AL222" s="164">
        <f t="shared" si="137"/>
        <v>35988.117213077276</v>
      </c>
      <c r="AM222" s="164">
        <f t="shared" si="137"/>
        <v>35988.117213077276</v>
      </c>
    </row>
    <row r="223" spans="1:39" outlineLevel="1">
      <c r="A223" s="100"/>
      <c r="B223" s="100"/>
      <c r="C223" s="100"/>
      <c r="D223" s="179" t="str">
        <f t="shared" si="131"/>
        <v>Buildings</v>
      </c>
      <c r="E223" s="165" t="str">
        <f>H592</f>
        <v>Terminal International</v>
      </c>
      <c r="F223" s="165"/>
      <c r="G223" s="165" t="s">
        <v>78</v>
      </c>
      <c r="H223" s="121"/>
      <c r="I223" s="165"/>
      <c r="J223" s="165"/>
      <c r="K223" s="303"/>
      <c r="L223" s="303"/>
      <c r="M223" s="202"/>
      <c r="N223" s="376">
        <f>[2]OUTPUT!N412</f>
        <v>0</v>
      </c>
      <c r="O223" s="164">
        <f>IFERROR(MIN(O220,O221/'Asset base'!O$98),0)</f>
        <v>3598.8117213077276</v>
      </c>
      <c r="P223" s="164">
        <f>IFERROR(MIN(P220,P221/'Asset base'!P$98),0)</f>
        <v>3598.8117213077276</v>
      </c>
      <c r="Q223" s="164">
        <f>IFERROR(MIN(Q220,Q221/'Asset base'!Q$98),0)</f>
        <v>3598.8117213077276</v>
      </c>
      <c r="R223" s="164">
        <f>IFERROR(MIN(R220,R221/'Asset base'!R$98),0)</f>
        <v>3598.8117213077276</v>
      </c>
      <c r="S223" s="164">
        <f>IFERROR(MIN(S220,S221/'Asset base'!S$98),0)</f>
        <v>3598.8117213077276</v>
      </c>
      <c r="T223" s="164">
        <f>IFERROR(MIN(T220,T221/'Asset base'!T$98),0)</f>
        <v>3598.8117213077276</v>
      </c>
      <c r="U223" s="164">
        <f>IFERROR(MIN(U220,U221/'Asset base'!U$98),0)</f>
        <v>3598.8117213077276</v>
      </c>
      <c r="V223" s="164">
        <f>IFERROR(MIN(V220,V221/'Asset base'!V$98),0)</f>
        <v>3598.8117213077276</v>
      </c>
      <c r="W223" s="164">
        <f>IFERROR(MIN(W220,W221/'Asset base'!W$98),0)</f>
        <v>3598.8117213077276</v>
      </c>
      <c r="X223" s="164">
        <f>IFERROR(MIN(X220,X221/'Asset base'!X$98),0)</f>
        <v>3598.8117213077276</v>
      </c>
      <c r="Y223" s="164">
        <f>IFERROR(MIN(Y220,Y221/'Asset base'!Y$98),0)</f>
        <v>0</v>
      </c>
      <c r="Z223" s="164">
        <f>IFERROR(MIN(Z220,Z221/'Asset base'!Z$98),0)</f>
        <v>0</v>
      </c>
      <c r="AA223" s="164">
        <f>IFERROR(MIN(AA220,AA221/'Asset base'!AA$98),0)</f>
        <v>0</v>
      </c>
      <c r="AB223" s="164">
        <f>IFERROR(MIN(AB220,AB221/'Asset base'!AB$98),0)</f>
        <v>0</v>
      </c>
      <c r="AC223" s="164">
        <f>IFERROR(MIN(AC220,AC221/'Asset base'!AC$98),0)</f>
        <v>0</v>
      </c>
      <c r="AD223" s="164">
        <f>IFERROR(MIN(AD220,AD221/'Asset base'!AD$98),0)</f>
        <v>0</v>
      </c>
      <c r="AE223" s="164">
        <f>IFERROR(MIN(AE220,AE221/'Asset base'!AE$98),0)</f>
        <v>0</v>
      </c>
      <c r="AF223" s="164">
        <f>IFERROR(MIN(AF220,AF221/'Asset base'!AF$98),0)</f>
        <v>0</v>
      </c>
      <c r="AG223" s="164">
        <f>IFERROR(MIN(AG220,AG221/'Asset base'!AG$98),0)</f>
        <v>0</v>
      </c>
      <c r="AH223" s="164">
        <f>IFERROR(MIN(AH220,AH221/'Asset base'!AH$98),0)</f>
        <v>0</v>
      </c>
      <c r="AI223" s="164">
        <f>IFERROR(MIN(AI220,AI221/'Asset base'!AI$98),0)</f>
        <v>0</v>
      </c>
      <c r="AJ223" s="164">
        <f>IFERROR(MIN(AJ220,AJ221/'Asset base'!AJ$98),0)</f>
        <v>0</v>
      </c>
      <c r="AK223" s="164">
        <f>IFERROR(MIN(AK220,AK221/'Asset base'!AK$98),0)</f>
        <v>0</v>
      </c>
      <c r="AL223" s="164">
        <f>IFERROR(MIN(AL220,AL221/'Asset base'!AL$98),0)</f>
        <v>0</v>
      </c>
      <c r="AM223" s="164">
        <f>IFERROR(MIN(AM220,AM221/'Asset base'!AM$98),0)</f>
        <v>0</v>
      </c>
    </row>
    <row r="224" spans="1:39" outlineLevel="1">
      <c r="A224" s="100"/>
      <c r="B224" s="100"/>
      <c r="C224" s="100"/>
      <c r="D224" s="179" t="str">
        <f t="shared" si="131"/>
        <v>Buildings</v>
      </c>
      <c r="E224" s="165" t="str">
        <f>H592</f>
        <v>Terminal International</v>
      </c>
      <c r="F224" s="165"/>
      <c r="G224" s="165" t="s">
        <v>77</v>
      </c>
      <c r="H224" s="121"/>
      <c r="I224" s="165"/>
      <c r="J224" s="165"/>
      <c r="K224" s="305"/>
      <c r="L224" s="305"/>
      <c r="M224" s="306"/>
      <c r="N224" s="376">
        <f>[2]OUTPUT!N413</f>
        <v>0</v>
      </c>
      <c r="O224" s="164">
        <f t="shared" ref="O224:X224" si="138">SUM(O222:O223)</f>
        <v>3598.8117213077276</v>
      </c>
      <c r="P224" s="164">
        <f t="shared" si="138"/>
        <v>7197.6234426154551</v>
      </c>
      <c r="Q224" s="164">
        <f t="shared" si="138"/>
        <v>10796.435163923183</v>
      </c>
      <c r="R224" s="164">
        <f t="shared" si="138"/>
        <v>14395.24688523091</v>
      </c>
      <c r="S224" s="164">
        <f t="shared" si="138"/>
        <v>17994.058606538638</v>
      </c>
      <c r="T224" s="164">
        <f t="shared" si="138"/>
        <v>21592.870327846365</v>
      </c>
      <c r="U224" s="164">
        <f t="shared" si="138"/>
        <v>25191.682049154093</v>
      </c>
      <c r="V224" s="164">
        <f t="shared" si="138"/>
        <v>28790.493770461821</v>
      </c>
      <c r="W224" s="164">
        <f t="shared" si="138"/>
        <v>32389.305491769548</v>
      </c>
      <c r="X224" s="164">
        <f t="shared" si="138"/>
        <v>35988.117213077276</v>
      </c>
      <c r="Y224" s="164">
        <f>SUM(Y222:Y223)</f>
        <v>35988.117213077276</v>
      </c>
      <c r="Z224" s="164">
        <f t="shared" ref="Z224:AM224" si="139">SUM(Z222:Z223)</f>
        <v>35988.117213077276</v>
      </c>
      <c r="AA224" s="164">
        <f t="shared" si="139"/>
        <v>35988.117213077276</v>
      </c>
      <c r="AB224" s="164">
        <f t="shared" si="139"/>
        <v>35988.117213077276</v>
      </c>
      <c r="AC224" s="164">
        <f t="shared" si="139"/>
        <v>35988.117213077276</v>
      </c>
      <c r="AD224" s="164">
        <f t="shared" si="139"/>
        <v>35988.117213077276</v>
      </c>
      <c r="AE224" s="164">
        <f t="shared" si="139"/>
        <v>35988.117213077276</v>
      </c>
      <c r="AF224" s="164">
        <f t="shared" si="139"/>
        <v>35988.117213077276</v>
      </c>
      <c r="AG224" s="164">
        <f t="shared" si="139"/>
        <v>35988.117213077276</v>
      </c>
      <c r="AH224" s="164">
        <f t="shared" si="139"/>
        <v>35988.117213077276</v>
      </c>
      <c r="AI224" s="164">
        <f t="shared" si="139"/>
        <v>35988.117213077276</v>
      </c>
      <c r="AJ224" s="164">
        <f t="shared" si="139"/>
        <v>35988.117213077276</v>
      </c>
      <c r="AK224" s="164">
        <f t="shared" si="139"/>
        <v>35988.117213077276</v>
      </c>
      <c r="AL224" s="164">
        <f t="shared" si="139"/>
        <v>35988.117213077276</v>
      </c>
      <c r="AM224" s="164">
        <f t="shared" si="139"/>
        <v>35988.117213077276</v>
      </c>
    </row>
    <row r="225" spans="1:39" outlineLevel="1">
      <c r="A225" s="100"/>
      <c r="B225" s="100"/>
      <c r="C225" s="100"/>
      <c r="D225" s="179" t="str">
        <f t="shared" si="131"/>
        <v>Buildings</v>
      </c>
      <c r="E225" s="165" t="str">
        <f>H592</f>
        <v>Terminal International</v>
      </c>
      <c r="F225" s="165"/>
      <c r="G225" s="200" t="s">
        <v>76</v>
      </c>
      <c r="H225" s="201"/>
      <c r="I225" s="200"/>
      <c r="J225" s="200"/>
      <c r="K225" s="198">
        <f t="shared" ref="K225:S225" si="140">K221-K224</f>
        <v>0</v>
      </c>
      <c r="L225" s="198">
        <f t="shared" si="140"/>
        <v>0</v>
      </c>
      <c r="M225" s="227">
        <f>N220</f>
        <v>0</v>
      </c>
      <c r="N225" s="542">
        <f>'[7]2008-2012 Asset Mov''t Revised'!$AS$76</f>
        <v>35988.117213077276</v>
      </c>
      <c r="O225" s="198">
        <f t="shared" si="140"/>
        <v>32389.305491769548</v>
      </c>
      <c r="P225" s="198">
        <f t="shared" si="140"/>
        <v>28790.493770461821</v>
      </c>
      <c r="Q225" s="198">
        <f t="shared" si="140"/>
        <v>25191.682049154093</v>
      </c>
      <c r="R225" s="198">
        <f t="shared" si="140"/>
        <v>21592.870327846365</v>
      </c>
      <c r="S225" s="198">
        <f t="shared" si="140"/>
        <v>17994.058606538638</v>
      </c>
      <c r="T225" s="198">
        <f t="shared" ref="T225:AM225" si="141">T221-T224</f>
        <v>14395.24688523091</v>
      </c>
      <c r="U225" s="198">
        <f t="shared" si="141"/>
        <v>10796.435163923183</v>
      </c>
      <c r="V225" s="198">
        <f t="shared" si="141"/>
        <v>7197.6234426154551</v>
      </c>
      <c r="W225" s="198">
        <f t="shared" si="141"/>
        <v>3598.8117213077276</v>
      </c>
      <c r="X225" s="198">
        <f t="shared" si="141"/>
        <v>0</v>
      </c>
      <c r="Y225" s="198">
        <f t="shared" si="141"/>
        <v>0</v>
      </c>
      <c r="Z225" s="198">
        <f t="shared" si="141"/>
        <v>0</v>
      </c>
      <c r="AA225" s="198">
        <f t="shared" si="141"/>
        <v>0</v>
      </c>
      <c r="AB225" s="198">
        <f t="shared" si="141"/>
        <v>0</v>
      </c>
      <c r="AC225" s="198">
        <f t="shared" si="141"/>
        <v>0</v>
      </c>
      <c r="AD225" s="198">
        <f t="shared" si="141"/>
        <v>0</v>
      </c>
      <c r="AE225" s="198">
        <f t="shared" si="141"/>
        <v>0</v>
      </c>
      <c r="AF225" s="198">
        <f t="shared" si="141"/>
        <v>0</v>
      </c>
      <c r="AG225" s="198">
        <f t="shared" si="141"/>
        <v>0</v>
      </c>
      <c r="AH225" s="198">
        <f t="shared" si="141"/>
        <v>0</v>
      </c>
      <c r="AI225" s="198">
        <f t="shared" si="141"/>
        <v>0</v>
      </c>
      <c r="AJ225" s="198">
        <f t="shared" si="141"/>
        <v>0</v>
      </c>
      <c r="AK225" s="198">
        <f t="shared" si="141"/>
        <v>0</v>
      </c>
      <c r="AL225" s="198">
        <f t="shared" si="141"/>
        <v>0</v>
      </c>
      <c r="AM225" s="198">
        <f t="shared" si="141"/>
        <v>0</v>
      </c>
    </row>
    <row r="226" spans="1:39" outlineLevel="1">
      <c r="A226" s="100"/>
      <c r="B226" s="100"/>
      <c r="C226" s="100"/>
      <c r="D226" s="179"/>
      <c r="E226" s="165"/>
      <c r="F226" s="165"/>
      <c r="G226" s="205"/>
      <c r="H226" s="121"/>
      <c r="I226" s="165"/>
      <c r="J226" s="165"/>
      <c r="K226" s="207"/>
      <c r="L226" s="207"/>
      <c r="M226" s="228"/>
      <c r="N226" s="204"/>
      <c r="O226" s="204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  <c r="AA226" s="207"/>
      <c r="AB226" s="207"/>
      <c r="AC226" s="207"/>
      <c r="AD226" s="207"/>
      <c r="AE226" s="207"/>
      <c r="AF226" s="207"/>
      <c r="AG226" s="207"/>
      <c r="AH226" s="207"/>
      <c r="AI226" s="207"/>
      <c r="AJ226" s="207"/>
      <c r="AK226" s="207"/>
      <c r="AL226" s="207"/>
      <c r="AM226" s="207"/>
    </row>
    <row r="227" spans="1:39" outlineLevel="1">
      <c r="A227" s="100"/>
      <c r="B227" s="100"/>
      <c r="C227" s="100"/>
      <c r="D227" s="179"/>
      <c r="E227" s="165"/>
      <c r="F227" s="165"/>
      <c r="G227" s="206" t="str">
        <f>G612</f>
        <v>Computers &amp; Furniture</v>
      </c>
      <c r="H227" s="121"/>
      <c r="I227" s="165"/>
      <c r="J227" s="165"/>
      <c r="K227" s="207"/>
      <c r="L227" s="164"/>
      <c r="M227" s="227"/>
      <c r="N227" s="197"/>
      <c r="O227" s="197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</row>
    <row r="228" spans="1:39" outlineLevel="1">
      <c r="A228" s="100"/>
      <c r="B228" s="100"/>
      <c r="C228" s="100"/>
      <c r="D228" s="179"/>
      <c r="E228" s="165"/>
      <c r="F228" s="165"/>
      <c r="G228" s="205"/>
      <c r="H228" s="121"/>
      <c r="I228" s="165"/>
      <c r="J228" s="165"/>
      <c r="K228" s="207"/>
      <c r="L228" s="164"/>
      <c r="M228" s="227"/>
      <c r="N228" s="197"/>
      <c r="O228" s="197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</row>
    <row r="229" spans="1:39" outlineLevel="1">
      <c r="A229" s="100"/>
      <c r="B229" s="100"/>
      <c r="C229" s="100"/>
      <c r="D229" s="179" t="str">
        <f t="shared" ref="D229:D234" si="142">$G$518</f>
        <v>Computers &amp; Furniture</v>
      </c>
      <c r="E229" s="165" t="str">
        <f>H592</f>
        <v>Terminal International</v>
      </c>
      <c r="F229" s="165"/>
      <c r="G229" s="165" t="s">
        <v>80</v>
      </c>
      <c r="H229" s="121"/>
      <c r="I229" s="165"/>
      <c r="J229" s="165"/>
      <c r="K229" s="164"/>
      <c r="L229" s="164"/>
      <c r="M229" s="227"/>
      <c r="N229" s="376"/>
      <c r="O229" s="197">
        <f>N234</f>
        <v>270337.36175554444</v>
      </c>
      <c r="P229" s="164">
        <f t="shared" ref="P229:X229" si="143">O234</f>
        <v>216269.88940443555</v>
      </c>
      <c r="Q229" s="164">
        <f t="shared" si="143"/>
        <v>162202.41705332667</v>
      </c>
      <c r="R229" s="164">
        <f t="shared" si="143"/>
        <v>108134.94470221776</v>
      </c>
      <c r="S229" s="164">
        <f t="shared" si="143"/>
        <v>54067.472351108881</v>
      </c>
      <c r="T229" s="164">
        <f t="shared" si="143"/>
        <v>0</v>
      </c>
      <c r="U229" s="164">
        <f t="shared" si="143"/>
        <v>0</v>
      </c>
      <c r="V229" s="164">
        <f t="shared" si="143"/>
        <v>0</v>
      </c>
      <c r="W229" s="164">
        <f t="shared" si="143"/>
        <v>0</v>
      </c>
      <c r="X229" s="164">
        <f t="shared" si="143"/>
        <v>0</v>
      </c>
      <c r="Y229" s="164">
        <f t="shared" ref="Y229:AM229" si="144">X234</f>
        <v>0</v>
      </c>
      <c r="Z229" s="164">
        <f t="shared" si="144"/>
        <v>0</v>
      </c>
      <c r="AA229" s="164">
        <f t="shared" si="144"/>
        <v>0</v>
      </c>
      <c r="AB229" s="164">
        <f t="shared" si="144"/>
        <v>0</v>
      </c>
      <c r="AC229" s="164">
        <f t="shared" si="144"/>
        <v>0</v>
      </c>
      <c r="AD229" s="164">
        <f t="shared" si="144"/>
        <v>0</v>
      </c>
      <c r="AE229" s="164">
        <f t="shared" si="144"/>
        <v>0</v>
      </c>
      <c r="AF229" s="164">
        <f t="shared" si="144"/>
        <v>0</v>
      </c>
      <c r="AG229" s="164">
        <f t="shared" si="144"/>
        <v>0</v>
      </c>
      <c r="AH229" s="164">
        <f t="shared" si="144"/>
        <v>0</v>
      </c>
      <c r="AI229" s="164">
        <f t="shared" si="144"/>
        <v>0</v>
      </c>
      <c r="AJ229" s="164">
        <f t="shared" si="144"/>
        <v>0</v>
      </c>
      <c r="AK229" s="164">
        <f t="shared" si="144"/>
        <v>0</v>
      </c>
      <c r="AL229" s="164">
        <f t="shared" si="144"/>
        <v>0</v>
      </c>
      <c r="AM229" s="164">
        <f t="shared" si="144"/>
        <v>0</v>
      </c>
    </row>
    <row r="230" spans="1:39" outlineLevel="1">
      <c r="A230" s="100"/>
      <c r="B230" s="100"/>
      <c r="C230" s="100"/>
      <c r="D230" s="179" t="str">
        <f t="shared" si="142"/>
        <v>Computers &amp; Furniture</v>
      </c>
      <c r="E230" s="165" t="str">
        <f>H592</f>
        <v>Terminal International</v>
      </c>
      <c r="F230" s="165"/>
      <c r="G230" s="165" t="s">
        <v>60</v>
      </c>
      <c r="H230" s="121"/>
      <c r="I230" s="165"/>
      <c r="J230" s="165"/>
      <c r="K230" s="303"/>
      <c r="L230" s="303"/>
      <c r="M230" s="304"/>
      <c r="N230" s="376"/>
      <c r="O230" s="528">
        <f>N234</f>
        <v>270337.36175554444</v>
      </c>
      <c r="P230" s="164">
        <f t="shared" ref="P230:X230" si="145">O230</f>
        <v>270337.36175554444</v>
      </c>
      <c r="Q230" s="164">
        <f t="shared" si="145"/>
        <v>270337.36175554444</v>
      </c>
      <c r="R230" s="164">
        <f t="shared" si="145"/>
        <v>270337.36175554444</v>
      </c>
      <c r="S230" s="164">
        <f t="shared" si="145"/>
        <v>270337.36175554444</v>
      </c>
      <c r="T230" s="164">
        <f t="shared" si="145"/>
        <v>270337.36175554444</v>
      </c>
      <c r="U230" s="164">
        <f t="shared" si="145"/>
        <v>270337.36175554444</v>
      </c>
      <c r="V230" s="164">
        <f t="shared" si="145"/>
        <v>270337.36175554444</v>
      </c>
      <c r="W230" s="164">
        <f t="shared" si="145"/>
        <v>270337.36175554444</v>
      </c>
      <c r="X230" s="164">
        <f t="shared" si="145"/>
        <v>270337.36175554444</v>
      </c>
      <c r="Y230" s="164">
        <f t="shared" ref="Y230:AM230" si="146">X230</f>
        <v>270337.36175554444</v>
      </c>
      <c r="Z230" s="164">
        <f t="shared" si="146"/>
        <v>270337.36175554444</v>
      </c>
      <c r="AA230" s="164">
        <f t="shared" si="146"/>
        <v>270337.36175554444</v>
      </c>
      <c r="AB230" s="164">
        <f t="shared" si="146"/>
        <v>270337.36175554444</v>
      </c>
      <c r="AC230" s="164">
        <f t="shared" si="146"/>
        <v>270337.36175554444</v>
      </c>
      <c r="AD230" s="164">
        <f t="shared" si="146"/>
        <v>270337.36175554444</v>
      </c>
      <c r="AE230" s="164">
        <f t="shared" si="146"/>
        <v>270337.36175554444</v>
      </c>
      <c r="AF230" s="164">
        <f t="shared" si="146"/>
        <v>270337.36175554444</v>
      </c>
      <c r="AG230" s="164">
        <f t="shared" si="146"/>
        <v>270337.36175554444</v>
      </c>
      <c r="AH230" s="164">
        <f t="shared" si="146"/>
        <v>270337.36175554444</v>
      </c>
      <c r="AI230" s="164">
        <f t="shared" si="146"/>
        <v>270337.36175554444</v>
      </c>
      <c r="AJ230" s="164">
        <f t="shared" si="146"/>
        <v>270337.36175554444</v>
      </c>
      <c r="AK230" s="164">
        <f t="shared" si="146"/>
        <v>270337.36175554444</v>
      </c>
      <c r="AL230" s="164">
        <f t="shared" si="146"/>
        <v>270337.36175554444</v>
      </c>
      <c r="AM230" s="164">
        <f t="shared" si="146"/>
        <v>270337.36175554444</v>
      </c>
    </row>
    <row r="231" spans="1:39" outlineLevel="1">
      <c r="A231" s="100"/>
      <c r="B231" s="100"/>
      <c r="C231" s="100"/>
      <c r="D231" s="179" t="str">
        <f t="shared" si="142"/>
        <v>Computers &amp; Furniture</v>
      </c>
      <c r="E231" s="165" t="str">
        <f>H592</f>
        <v>Terminal International</v>
      </c>
      <c r="F231" s="165"/>
      <c r="G231" s="165" t="s">
        <v>79</v>
      </c>
      <c r="H231" s="121"/>
      <c r="I231" s="165"/>
      <c r="J231" s="165"/>
      <c r="K231" s="303"/>
      <c r="L231" s="303"/>
      <c r="M231" s="202"/>
      <c r="N231" s="376"/>
      <c r="O231" s="197">
        <f t="shared" ref="O231:X231" si="147">N233</f>
        <v>0</v>
      </c>
      <c r="P231" s="164">
        <f t="shared" si="147"/>
        <v>54067.472351108889</v>
      </c>
      <c r="Q231" s="164">
        <f t="shared" si="147"/>
        <v>108134.94470221778</v>
      </c>
      <c r="R231" s="164">
        <f t="shared" si="147"/>
        <v>162202.41705332667</v>
      </c>
      <c r="S231" s="164">
        <f t="shared" si="147"/>
        <v>216269.88940443555</v>
      </c>
      <c r="T231" s="164">
        <f t="shared" si="147"/>
        <v>270337.36175554444</v>
      </c>
      <c r="U231" s="164">
        <f t="shared" si="147"/>
        <v>270337.36175554444</v>
      </c>
      <c r="V231" s="164">
        <f t="shared" si="147"/>
        <v>270337.36175554444</v>
      </c>
      <c r="W231" s="164">
        <f t="shared" si="147"/>
        <v>270337.36175554444</v>
      </c>
      <c r="X231" s="164">
        <f t="shared" si="147"/>
        <v>270337.36175554444</v>
      </c>
      <c r="Y231" s="164">
        <f t="shared" ref="Y231:AM231" si="148">X233</f>
        <v>270337.36175554444</v>
      </c>
      <c r="Z231" s="164">
        <f t="shared" si="148"/>
        <v>270337.36175554444</v>
      </c>
      <c r="AA231" s="164">
        <f t="shared" si="148"/>
        <v>270337.36175554444</v>
      </c>
      <c r="AB231" s="164">
        <f t="shared" si="148"/>
        <v>270337.36175554444</v>
      </c>
      <c r="AC231" s="164">
        <f t="shared" si="148"/>
        <v>270337.36175554444</v>
      </c>
      <c r="AD231" s="164">
        <f t="shared" si="148"/>
        <v>270337.36175554444</v>
      </c>
      <c r="AE231" s="164">
        <f t="shared" si="148"/>
        <v>270337.36175554444</v>
      </c>
      <c r="AF231" s="164">
        <f t="shared" si="148"/>
        <v>270337.36175554444</v>
      </c>
      <c r="AG231" s="164">
        <f t="shared" si="148"/>
        <v>270337.36175554444</v>
      </c>
      <c r="AH231" s="164">
        <f t="shared" si="148"/>
        <v>270337.36175554444</v>
      </c>
      <c r="AI231" s="164">
        <f t="shared" si="148"/>
        <v>270337.36175554444</v>
      </c>
      <c r="AJ231" s="164">
        <f t="shared" si="148"/>
        <v>270337.36175554444</v>
      </c>
      <c r="AK231" s="164">
        <f t="shared" si="148"/>
        <v>270337.36175554444</v>
      </c>
      <c r="AL231" s="164">
        <f t="shared" si="148"/>
        <v>270337.36175554444</v>
      </c>
      <c r="AM231" s="164">
        <f t="shared" si="148"/>
        <v>270337.36175554444</v>
      </c>
    </row>
    <row r="232" spans="1:39" outlineLevel="1">
      <c r="A232" s="100"/>
      <c r="B232" s="100"/>
      <c r="C232" s="100"/>
      <c r="D232" s="179" t="str">
        <f t="shared" si="142"/>
        <v>Computers &amp; Furniture</v>
      </c>
      <c r="E232" s="165" t="str">
        <f>H592</f>
        <v>Terminal International</v>
      </c>
      <c r="F232" s="165"/>
      <c r="G232" s="165" t="s">
        <v>78</v>
      </c>
      <c r="H232" s="121"/>
      <c r="I232" s="165"/>
      <c r="J232" s="165"/>
      <c r="K232" s="303"/>
      <c r="L232" s="303"/>
      <c r="M232" s="202"/>
      <c r="N232" s="376"/>
      <c r="O232" s="197">
        <f>IFERROR(MIN(O229,O230/'Asset base'!O$99),0)</f>
        <v>54067.472351108889</v>
      </c>
      <c r="P232" s="164">
        <f>IFERROR(MIN(P229,P230/'Asset base'!P$99),0)</f>
        <v>54067.472351108889</v>
      </c>
      <c r="Q232" s="164">
        <f>IFERROR(MIN(Q229,Q230/'Asset base'!Q$99),0)</f>
        <v>54067.472351108889</v>
      </c>
      <c r="R232" s="164">
        <f>IFERROR(MIN(R229,R230/'Asset base'!R$99),0)</f>
        <v>54067.472351108889</v>
      </c>
      <c r="S232" s="164">
        <f>IFERROR(MIN(S229,S230/'Asset base'!S$99),0)</f>
        <v>54067.472351108881</v>
      </c>
      <c r="T232" s="164">
        <f>IFERROR(MIN(T229,T230/'Asset base'!T$99),0)</f>
        <v>0</v>
      </c>
      <c r="U232" s="164">
        <f>IFERROR(MIN(U229,U230/'Asset base'!U$99),0)</f>
        <v>0</v>
      </c>
      <c r="V232" s="164">
        <f>IFERROR(MIN(V229,V230/'Asset base'!V$99),0)</f>
        <v>0</v>
      </c>
      <c r="W232" s="164">
        <f>IFERROR(MIN(W229,W230/'Asset base'!W$99),0)</f>
        <v>0</v>
      </c>
      <c r="X232" s="164">
        <f>IFERROR(MIN(X229,X230/'Asset base'!X$99),0)</f>
        <v>0</v>
      </c>
      <c r="Y232" s="164">
        <f>IFERROR(MIN(Y229,Y230/'Asset base'!Y$99),0)</f>
        <v>0</v>
      </c>
      <c r="Z232" s="164">
        <f>IFERROR(MIN(Z229,Z230/'Asset base'!Z$99),0)</f>
        <v>0</v>
      </c>
      <c r="AA232" s="164">
        <f>IFERROR(MIN(AA229,AA230/'Asset base'!AA$99),0)</f>
        <v>0</v>
      </c>
      <c r="AB232" s="164">
        <f>IFERROR(MIN(AB229,AB230/'Asset base'!AB$99),0)</f>
        <v>0</v>
      </c>
      <c r="AC232" s="164">
        <f>IFERROR(MIN(AC229,AC230/'Asset base'!AC$99),0)</f>
        <v>0</v>
      </c>
      <c r="AD232" s="164">
        <f>IFERROR(MIN(AD229,AD230/'Asset base'!AD$99),0)</f>
        <v>0</v>
      </c>
      <c r="AE232" s="164">
        <f>IFERROR(MIN(AE229,AE230/'Asset base'!AE$99),0)</f>
        <v>0</v>
      </c>
      <c r="AF232" s="164">
        <f>IFERROR(MIN(AF229,AF230/'Asset base'!AF$99),0)</f>
        <v>0</v>
      </c>
      <c r="AG232" s="164">
        <f>IFERROR(MIN(AG229,AG230/'Asset base'!AG$99),0)</f>
        <v>0</v>
      </c>
      <c r="AH232" s="164">
        <f>IFERROR(MIN(AH229,AH230/'Asset base'!AH$99),0)</f>
        <v>0</v>
      </c>
      <c r="AI232" s="164">
        <f>IFERROR(MIN(AI229,AI230/'Asset base'!AI$99),0)</f>
        <v>0</v>
      </c>
      <c r="AJ232" s="164">
        <f>IFERROR(MIN(AJ229,AJ230/'Asset base'!AJ$99),0)</f>
        <v>0</v>
      </c>
      <c r="AK232" s="164">
        <f>IFERROR(MIN(AK229,AK230/'Asset base'!AK$99),0)</f>
        <v>0</v>
      </c>
      <c r="AL232" s="164">
        <f>IFERROR(MIN(AL229,AL230/'Asset base'!AL$99),0)</f>
        <v>0</v>
      </c>
      <c r="AM232" s="164">
        <f>IFERROR(MIN(AM229,AM230/'Asset base'!AM$99),0)</f>
        <v>0</v>
      </c>
    </row>
    <row r="233" spans="1:39" outlineLevel="1">
      <c r="A233" s="100"/>
      <c r="B233" s="100"/>
      <c r="C233" s="100"/>
      <c r="D233" s="179" t="str">
        <f t="shared" si="142"/>
        <v>Computers &amp; Furniture</v>
      </c>
      <c r="E233" s="165" t="str">
        <f>H592</f>
        <v>Terminal International</v>
      </c>
      <c r="F233" s="165"/>
      <c r="G233" s="165" t="s">
        <v>77</v>
      </c>
      <c r="H233" s="121"/>
      <c r="I233" s="165"/>
      <c r="J233" s="165"/>
      <c r="K233" s="305"/>
      <c r="L233" s="305"/>
      <c r="M233" s="306"/>
      <c r="N233" s="376"/>
      <c r="O233" s="197">
        <f t="shared" ref="O233:X233" si="149">SUM(O231:O232)</f>
        <v>54067.472351108889</v>
      </c>
      <c r="P233" s="164">
        <f t="shared" si="149"/>
        <v>108134.94470221778</v>
      </c>
      <c r="Q233" s="164">
        <f t="shared" si="149"/>
        <v>162202.41705332667</v>
      </c>
      <c r="R233" s="164">
        <f t="shared" si="149"/>
        <v>216269.88940443555</v>
      </c>
      <c r="S233" s="164">
        <f t="shared" si="149"/>
        <v>270337.36175554444</v>
      </c>
      <c r="T233" s="164">
        <f t="shared" si="149"/>
        <v>270337.36175554444</v>
      </c>
      <c r="U233" s="164">
        <f t="shared" si="149"/>
        <v>270337.36175554444</v>
      </c>
      <c r="V233" s="164">
        <f t="shared" si="149"/>
        <v>270337.36175554444</v>
      </c>
      <c r="W233" s="164">
        <f t="shared" si="149"/>
        <v>270337.36175554444</v>
      </c>
      <c r="X233" s="164">
        <f t="shared" si="149"/>
        <v>270337.36175554444</v>
      </c>
      <c r="Y233" s="164">
        <f>SUM(Y231:Y232)</f>
        <v>270337.36175554444</v>
      </c>
      <c r="Z233" s="164">
        <f t="shared" ref="Z233:AM233" si="150">SUM(Z231:Z232)</f>
        <v>270337.36175554444</v>
      </c>
      <c r="AA233" s="164">
        <f t="shared" si="150"/>
        <v>270337.36175554444</v>
      </c>
      <c r="AB233" s="164">
        <f t="shared" si="150"/>
        <v>270337.36175554444</v>
      </c>
      <c r="AC233" s="164">
        <f t="shared" si="150"/>
        <v>270337.36175554444</v>
      </c>
      <c r="AD233" s="164">
        <f t="shared" si="150"/>
        <v>270337.36175554444</v>
      </c>
      <c r="AE233" s="164">
        <f t="shared" si="150"/>
        <v>270337.36175554444</v>
      </c>
      <c r="AF233" s="164">
        <f t="shared" si="150"/>
        <v>270337.36175554444</v>
      </c>
      <c r="AG233" s="164">
        <f t="shared" si="150"/>
        <v>270337.36175554444</v>
      </c>
      <c r="AH233" s="164">
        <f t="shared" si="150"/>
        <v>270337.36175554444</v>
      </c>
      <c r="AI233" s="164">
        <f t="shared" si="150"/>
        <v>270337.36175554444</v>
      </c>
      <c r="AJ233" s="164">
        <f t="shared" si="150"/>
        <v>270337.36175554444</v>
      </c>
      <c r="AK233" s="164">
        <f t="shared" si="150"/>
        <v>270337.36175554444</v>
      </c>
      <c r="AL233" s="164">
        <f t="shared" si="150"/>
        <v>270337.36175554444</v>
      </c>
      <c r="AM233" s="164">
        <f t="shared" si="150"/>
        <v>270337.36175554444</v>
      </c>
    </row>
    <row r="234" spans="1:39" outlineLevel="1">
      <c r="A234" s="100"/>
      <c r="B234" s="100"/>
      <c r="C234" s="100"/>
      <c r="D234" s="179" t="str">
        <f t="shared" si="142"/>
        <v>Computers &amp; Furniture</v>
      </c>
      <c r="E234" s="165" t="str">
        <f>H592</f>
        <v>Terminal International</v>
      </c>
      <c r="F234" s="165"/>
      <c r="G234" s="200" t="s">
        <v>76</v>
      </c>
      <c r="H234" s="201"/>
      <c r="I234" s="200"/>
      <c r="J234" s="200"/>
      <c r="K234" s="198">
        <f t="shared" ref="K234:S234" si="151">K230-K233</f>
        <v>0</v>
      </c>
      <c r="L234" s="198">
        <f t="shared" si="151"/>
        <v>0</v>
      </c>
      <c r="M234" s="227">
        <f>N229</f>
        <v>0</v>
      </c>
      <c r="N234" s="541">
        <f>'[7]2008-2012 Asset Mov''t Revised'!$AS$77</f>
        <v>270337.36175554444</v>
      </c>
      <c r="O234" s="199">
        <f t="shared" si="151"/>
        <v>216269.88940443555</v>
      </c>
      <c r="P234" s="198">
        <f t="shared" si="151"/>
        <v>162202.41705332667</v>
      </c>
      <c r="Q234" s="198">
        <f t="shared" si="151"/>
        <v>108134.94470221776</v>
      </c>
      <c r="R234" s="198">
        <f t="shared" si="151"/>
        <v>54067.472351108881</v>
      </c>
      <c r="S234" s="198">
        <f t="shared" si="151"/>
        <v>0</v>
      </c>
      <c r="T234" s="198">
        <f t="shared" ref="T234:AM234" si="152">T230-T233</f>
        <v>0</v>
      </c>
      <c r="U234" s="198">
        <f t="shared" si="152"/>
        <v>0</v>
      </c>
      <c r="V234" s="198">
        <f t="shared" si="152"/>
        <v>0</v>
      </c>
      <c r="W234" s="198">
        <f t="shared" si="152"/>
        <v>0</v>
      </c>
      <c r="X234" s="198">
        <f t="shared" si="152"/>
        <v>0</v>
      </c>
      <c r="Y234" s="198">
        <f t="shared" si="152"/>
        <v>0</v>
      </c>
      <c r="Z234" s="198">
        <f t="shared" si="152"/>
        <v>0</v>
      </c>
      <c r="AA234" s="198">
        <f t="shared" si="152"/>
        <v>0</v>
      </c>
      <c r="AB234" s="198">
        <f t="shared" si="152"/>
        <v>0</v>
      </c>
      <c r="AC234" s="198">
        <f t="shared" si="152"/>
        <v>0</v>
      </c>
      <c r="AD234" s="198">
        <f t="shared" si="152"/>
        <v>0</v>
      </c>
      <c r="AE234" s="198">
        <f t="shared" si="152"/>
        <v>0</v>
      </c>
      <c r="AF234" s="198">
        <f t="shared" si="152"/>
        <v>0</v>
      </c>
      <c r="AG234" s="198">
        <f t="shared" si="152"/>
        <v>0</v>
      </c>
      <c r="AH234" s="198">
        <f t="shared" si="152"/>
        <v>0</v>
      </c>
      <c r="AI234" s="198">
        <f t="shared" si="152"/>
        <v>0</v>
      </c>
      <c r="AJ234" s="198">
        <f t="shared" si="152"/>
        <v>0</v>
      </c>
      <c r="AK234" s="198">
        <f t="shared" si="152"/>
        <v>0</v>
      </c>
      <c r="AL234" s="198">
        <f t="shared" si="152"/>
        <v>0</v>
      </c>
      <c r="AM234" s="198">
        <f t="shared" si="152"/>
        <v>0</v>
      </c>
    </row>
    <row r="235" spans="1:39" outlineLevel="1">
      <c r="A235" s="100"/>
      <c r="B235" s="100"/>
      <c r="C235" s="100"/>
      <c r="D235" s="179"/>
      <c r="E235" s="165"/>
      <c r="F235" s="165"/>
      <c r="G235" s="205"/>
      <c r="H235" s="121"/>
      <c r="I235" s="165"/>
      <c r="J235" s="165"/>
      <c r="K235" s="207"/>
      <c r="L235" s="164"/>
      <c r="M235" s="227"/>
      <c r="N235" s="197"/>
      <c r="O235" s="197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</row>
    <row r="236" spans="1:39" outlineLevel="1">
      <c r="A236" s="100"/>
      <c r="B236" s="100"/>
      <c r="C236" s="100"/>
      <c r="D236" s="179"/>
      <c r="E236" s="165"/>
      <c r="F236" s="165"/>
      <c r="G236" s="206" t="str">
        <f>G621</f>
        <v>Motor vehicles</v>
      </c>
      <c r="H236" s="121"/>
      <c r="I236" s="165"/>
      <c r="J236" s="165"/>
      <c r="K236" s="207"/>
      <c r="L236" s="164"/>
      <c r="M236" s="227"/>
      <c r="N236" s="197"/>
      <c r="O236" s="197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  <c r="AF236" s="165"/>
      <c r="AG236" s="165"/>
      <c r="AH236" s="165"/>
      <c r="AI236" s="165"/>
      <c r="AJ236" s="165"/>
      <c r="AK236" s="165"/>
      <c r="AL236" s="165"/>
      <c r="AM236" s="165"/>
    </row>
    <row r="237" spans="1:39" outlineLevel="1">
      <c r="A237" s="100"/>
      <c r="B237" s="100"/>
      <c r="C237" s="100"/>
      <c r="D237" s="179"/>
      <c r="E237" s="165"/>
      <c r="F237" s="165"/>
      <c r="G237" s="205"/>
      <c r="H237" s="121"/>
      <c r="I237" s="165"/>
      <c r="J237" s="165"/>
      <c r="K237" s="207"/>
      <c r="L237" s="164"/>
      <c r="M237" s="227"/>
      <c r="N237" s="197"/>
      <c r="O237" s="197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  <c r="AG237" s="165"/>
      <c r="AH237" s="165"/>
      <c r="AI237" s="165"/>
      <c r="AJ237" s="165"/>
      <c r="AK237" s="165"/>
      <c r="AL237" s="165"/>
      <c r="AM237" s="165"/>
    </row>
    <row r="238" spans="1:39" outlineLevel="1">
      <c r="A238" s="100"/>
      <c r="B238" s="100"/>
      <c r="C238" s="100"/>
      <c r="D238" s="179" t="str">
        <f t="shared" ref="D238:D243" si="153">$G$527</f>
        <v>Motor vehicles</v>
      </c>
      <c r="E238" s="165" t="str">
        <f>H592</f>
        <v>Terminal International</v>
      </c>
      <c r="F238" s="165"/>
      <c r="G238" s="165" t="s">
        <v>80</v>
      </c>
      <c r="H238" s="121"/>
      <c r="I238" s="165"/>
      <c r="J238" s="165"/>
      <c r="K238" s="164"/>
      <c r="L238" s="164"/>
      <c r="M238" s="227"/>
      <c r="N238" s="376">
        <f>[2]OUTPUT!N427</f>
        <v>0</v>
      </c>
      <c r="O238" s="197">
        <f>N243</f>
        <v>0</v>
      </c>
      <c r="P238" s="164">
        <f t="shared" ref="P238:X238" si="154">O243</f>
        <v>0</v>
      </c>
      <c r="Q238" s="164">
        <f t="shared" si="154"/>
        <v>0</v>
      </c>
      <c r="R238" s="164">
        <f t="shared" si="154"/>
        <v>0</v>
      </c>
      <c r="S238" s="164">
        <f t="shared" si="154"/>
        <v>0</v>
      </c>
      <c r="T238" s="164">
        <f t="shared" si="154"/>
        <v>0</v>
      </c>
      <c r="U238" s="164">
        <f t="shared" si="154"/>
        <v>0</v>
      </c>
      <c r="V238" s="164">
        <f t="shared" si="154"/>
        <v>0</v>
      </c>
      <c r="W238" s="164">
        <f t="shared" si="154"/>
        <v>0</v>
      </c>
      <c r="X238" s="164">
        <f t="shared" si="154"/>
        <v>0</v>
      </c>
      <c r="Y238" s="164">
        <f t="shared" ref="Y238:AM238" si="155">X243</f>
        <v>0</v>
      </c>
      <c r="Z238" s="164">
        <f t="shared" si="155"/>
        <v>0</v>
      </c>
      <c r="AA238" s="164">
        <f t="shared" si="155"/>
        <v>0</v>
      </c>
      <c r="AB238" s="164">
        <f t="shared" si="155"/>
        <v>0</v>
      </c>
      <c r="AC238" s="164">
        <f t="shared" si="155"/>
        <v>0</v>
      </c>
      <c r="AD238" s="164">
        <f t="shared" si="155"/>
        <v>0</v>
      </c>
      <c r="AE238" s="164">
        <f t="shared" si="155"/>
        <v>0</v>
      </c>
      <c r="AF238" s="164">
        <f t="shared" si="155"/>
        <v>0</v>
      </c>
      <c r="AG238" s="164">
        <f t="shared" si="155"/>
        <v>0</v>
      </c>
      <c r="AH238" s="164">
        <f t="shared" si="155"/>
        <v>0</v>
      </c>
      <c r="AI238" s="164">
        <f t="shared" si="155"/>
        <v>0</v>
      </c>
      <c r="AJ238" s="164">
        <f t="shared" si="155"/>
        <v>0</v>
      </c>
      <c r="AK238" s="164">
        <f t="shared" si="155"/>
        <v>0</v>
      </c>
      <c r="AL238" s="164">
        <f t="shared" si="155"/>
        <v>0</v>
      </c>
      <c r="AM238" s="164">
        <f t="shared" si="155"/>
        <v>0</v>
      </c>
    </row>
    <row r="239" spans="1:39" outlineLevel="1">
      <c r="A239" s="100"/>
      <c r="B239" s="100"/>
      <c r="C239" s="100"/>
      <c r="D239" s="179" t="str">
        <f t="shared" si="153"/>
        <v>Motor vehicles</v>
      </c>
      <c r="E239" s="165" t="str">
        <f>H592</f>
        <v>Terminal International</v>
      </c>
      <c r="F239" s="165"/>
      <c r="G239" s="165" t="s">
        <v>60</v>
      </c>
      <c r="H239" s="121"/>
      <c r="I239" s="165"/>
      <c r="J239" s="165"/>
      <c r="K239" s="303"/>
      <c r="L239" s="303"/>
      <c r="M239" s="304"/>
      <c r="N239" s="376">
        <f>[2]OUTPUT!N428</f>
        <v>0</v>
      </c>
      <c r="O239" s="197">
        <f>N243</f>
        <v>0</v>
      </c>
      <c r="P239" s="164">
        <f t="shared" ref="P239:X239" si="156">O239</f>
        <v>0</v>
      </c>
      <c r="Q239" s="164">
        <f t="shared" si="156"/>
        <v>0</v>
      </c>
      <c r="R239" s="164">
        <f t="shared" si="156"/>
        <v>0</v>
      </c>
      <c r="S239" s="164">
        <f t="shared" si="156"/>
        <v>0</v>
      </c>
      <c r="T239" s="164">
        <f t="shared" si="156"/>
        <v>0</v>
      </c>
      <c r="U239" s="164">
        <f t="shared" si="156"/>
        <v>0</v>
      </c>
      <c r="V239" s="164">
        <f t="shared" si="156"/>
        <v>0</v>
      </c>
      <c r="W239" s="164">
        <f t="shared" si="156"/>
        <v>0</v>
      </c>
      <c r="X239" s="164">
        <f t="shared" si="156"/>
        <v>0</v>
      </c>
      <c r="Y239" s="164">
        <f t="shared" ref="Y239:AM239" si="157">X239</f>
        <v>0</v>
      </c>
      <c r="Z239" s="164">
        <f t="shared" si="157"/>
        <v>0</v>
      </c>
      <c r="AA239" s="164">
        <f t="shared" si="157"/>
        <v>0</v>
      </c>
      <c r="AB239" s="164">
        <f t="shared" si="157"/>
        <v>0</v>
      </c>
      <c r="AC239" s="164">
        <f t="shared" si="157"/>
        <v>0</v>
      </c>
      <c r="AD239" s="164">
        <f t="shared" si="157"/>
        <v>0</v>
      </c>
      <c r="AE239" s="164">
        <f t="shared" si="157"/>
        <v>0</v>
      </c>
      <c r="AF239" s="164">
        <f t="shared" si="157"/>
        <v>0</v>
      </c>
      <c r="AG239" s="164">
        <f t="shared" si="157"/>
        <v>0</v>
      </c>
      <c r="AH239" s="164">
        <f t="shared" si="157"/>
        <v>0</v>
      </c>
      <c r="AI239" s="164">
        <f t="shared" si="157"/>
        <v>0</v>
      </c>
      <c r="AJ239" s="164">
        <f t="shared" si="157"/>
        <v>0</v>
      </c>
      <c r="AK239" s="164">
        <f t="shared" si="157"/>
        <v>0</v>
      </c>
      <c r="AL239" s="164">
        <f t="shared" si="157"/>
        <v>0</v>
      </c>
      <c r="AM239" s="164">
        <f t="shared" si="157"/>
        <v>0</v>
      </c>
    </row>
    <row r="240" spans="1:39" outlineLevel="1">
      <c r="A240" s="100"/>
      <c r="B240" s="100"/>
      <c r="C240" s="100"/>
      <c r="D240" s="179" t="str">
        <f t="shared" si="153"/>
        <v>Motor vehicles</v>
      </c>
      <c r="E240" s="165" t="str">
        <f>H592</f>
        <v>Terminal International</v>
      </c>
      <c r="F240" s="165"/>
      <c r="G240" s="165" t="s">
        <v>79</v>
      </c>
      <c r="H240" s="121"/>
      <c r="I240" s="165"/>
      <c r="J240" s="165"/>
      <c r="K240" s="303"/>
      <c r="L240" s="303"/>
      <c r="M240" s="202"/>
      <c r="N240" s="376">
        <f>[2]OUTPUT!N429</f>
        <v>0</v>
      </c>
      <c r="O240" s="197">
        <f t="shared" ref="O240:X240" si="158">N242</f>
        <v>0</v>
      </c>
      <c r="P240" s="164">
        <f t="shared" si="158"/>
        <v>0</v>
      </c>
      <c r="Q240" s="164">
        <f t="shared" si="158"/>
        <v>0</v>
      </c>
      <c r="R240" s="164">
        <f t="shared" si="158"/>
        <v>0</v>
      </c>
      <c r="S240" s="164">
        <f t="shared" si="158"/>
        <v>0</v>
      </c>
      <c r="T240" s="164">
        <f t="shared" si="158"/>
        <v>0</v>
      </c>
      <c r="U240" s="164">
        <f t="shared" si="158"/>
        <v>0</v>
      </c>
      <c r="V240" s="164">
        <f t="shared" si="158"/>
        <v>0</v>
      </c>
      <c r="W240" s="164">
        <f t="shared" si="158"/>
        <v>0</v>
      </c>
      <c r="X240" s="164">
        <f t="shared" si="158"/>
        <v>0</v>
      </c>
      <c r="Y240" s="164">
        <f t="shared" ref="Y240:AM240" si="159">X242</f>
        <v>0</v>
      </c>
      <c r="Z240" s="164">
        <f t="shared" si="159"/>
        <v>0</v>
      </c>
      <c r="AA240" s="164">
        <f t="shared" si="159"/>
        <v>0</v>
      </c>
      <c r="AB240" s="164">
        <f t="shared" si="159"/>
        <v>0</v>
      </c>
      <c r="AC240" s="164">
        <f t="shared" si="159"/>
        <v>0</v>
      </c>
      <c r="AD240" s="164">
        <f t="shared" si="159"/>
        <v>0</v>
      </c>
      <c r="AE240" s="164">
        <f t="shared" si="159"/>
        <v>0</v>
      </c>
      <c r="AF240" s="164">
        <f t="shared" si="159"/>
        <v>0</v>
      </c>
      <c r="AG240" s="164">
        <f t="shared" si="159"/>
        <v>0</v>
      </c>
      <c r="AH240" s="164">
        <f t="shared" si="159"/>
        <v>0</v>
      </c>
      <c r="AI240" s="164">
        <f t="shared" si="159"/>
        <v>0</v>
      </c>
      <c r="AJ240" s="164">
        <f t="shared" si="159"/>
        <v>0</v>
      </c>
      <c r="AK240" s="164">
        <f t="shared" si="159"/>
        <v>0</v>
      </c>
      <c r="AL240" s="164">
        <f t="shared" si="159"/>
        <v>0</v>
      </c>
      <c r="AM240" s="164">
        <f t="shared" si="159"/>
        <v>0</v>
      </c>
    </row>
    <row r="241" spans="1:39" outlineLevel="1">
      <c r="A241" s="100"/>
      <c r="B241" s="100"/>
      <c r="C241" s="100"/>
      <c r="D241" s="179" t="str">
        <f t="shared" si="153"/>
        <v>Motor vehicles</v>
      </c>
      <c r="E241" s="165" t="str">
        <f>H592</f>
        <v>Terminal International</v>
      </c>
      <c r="F241" s="165"/>
      <c r="G241" s="165" t="s">
        <v>78</v>
      </c>
      <c r="H241" s="121"/>
      <c r="I241" s="165"/>
      <c r="J241" s="165"/>
      <c r="K241" s="303"/>
      <c r="L241" s="303"/>
      <c r="M241" s="202"/>
      <c r="N241" s="376">
        <f>[2]OUTPUT!N430</f>
        <v>0</v>
      </c>
      <c r="O241" s="197">
        <f>IFERROR(MIN(O238,O239/'Asset base'!O$100),0)</f>
        <v>0</v>
      </c>
      <c r="P241" s="164">
        <f>IFERROR(MIN(P238,P239/'Asset base'!P$100),0)</f>
        <v>0</v>
      </c>
      <c r="Q241" s="164">
        <f>IFERROR(MIN(Q238,Q239/'Asset base'!Q$100),0)</f>
        <v>0</v>
      </c>
      <c r="R241" s="164">
        <f>IFERROR(MIN(R238,R239/'Asset base'!R$100),0)</f>
        <v>0</v>
      </c>
      <c r="S241" s="164">
        <f>IFERROR(MIN(S238,S239/'Asset base'!S$100),0)</f>
        <v>0</v>
      </c>
      <c r="T241" s="164">
        <f>IFERROR(MIN(T238,T239/'Asset base'!T$100),0)</f>
        <v>0</v>
      </c>
      <c r="U241" s="164">
        <f>IFERROR(MIN(U238,U239/'Asset base'!U$100),0)</f>
        <v>0</v>
      </c>
      <c r="V241" s="164">
        <f>IFERROR(MIN(V238,V239/'Asset base'!V$100),0)</f>
        <v>0</v>
      </c>
      <c r="W241" s="164">
        <f>IFERROR(MIN(W238,W239/'Asset base'!W$100),0)</f>
        <v>0</v>
      </c>
      <c r="X241" s="164">
        <f>IFERROR(MIN(X238,X239/'Asset base'!X$100),0)</f>
        <v>0</v>
      </c>
      <c r="Y241" s="164">
        <f>IFERROR(MIN(Y238,Y239/'Asset base'!Y$100),0)</f>
        <v>0</v>
      </c>
      <c r="Z241" s="164">
        <f>IFERROR(MIN(Z238,Z239/'Asset base'!Z$100),0)</f>
        <v>0</v>
      </c>
      <c r="AA241" s="164">
        <f>IFERROR(MIN(AA238,AA239/'Asset base'!AA$100),0)</f>
        <v>0</v>
      </c>
      <c r="AB241" s="164">
        <f>IFERROR(MIN(AB238,AB239/'Asset base'!AB$100),0)</f>
        <v>0</v>
      </c>
      <c r="AC241" s="164">
        <f>IFERROR(MIN(AC238,AC239/'Asset base'!AC$100),0)</f>
        <v>0</v>
      </c>
      <c r="AD241" s="164">
        <f>IFERROR(MIN(AD238,AD239/'Asset base'!AD$100),0)</f>
        <v>0</v>
      </c>
      <c r="AE241" s="164">
        <f>IFERROR(MIN(AE238,AE239/'Asset base'!AE$100),0)</f>
        <v>0</v>
      </c>
      <c r="AF241" s="164">
        <f>IFERROR(MIN(AF238,AF239/'Asset base'!AF$100),0)</f>
        <v>0</v>
      </c>
      <c r="AG241" s="164">
        <f>IFERROR(MIN(AG238,AG239/'Asset base'!AG$100),0)</f>
        <v>0</v>
      </c>
      <c r="AH241" s="164">
        <f>IFERROR(MIN(AH238,AH239/'Asset base'!AH$100),0)</f>
        <v>0</v>
      </c>
      <c r="AI241" s="164">
        <f>IFERROR(MIN(AI238,AI239/'Asset base'!AI$100),0)</f>
        <v>0</v>
      </c>
      <c r="AJ241" s="164">
        <f>IFERROR(MIN(AJ238,AJ239/'Asset base'!AJ$100),0)</f>
        <v>0</v>
      </c>
      <c r="AK241" s="164">
        <f>IFERROR(MIN(AK238,AK239/'Asset base'!AK$100),0)</f>
        <v>0</v>
      </c>
      <c r="AL241" s="164">
        <f>IFERROR(MIN(AL238,AL239/'Asset base'!AL$100),0)</f>
        <v>0</v>
      </c>
      <c r="AM241" s="164">
        <f>IFERROR(MIN(AM238,AM239/'Asset base'!AM$100),0)</f>
        <v>0</v>
      </c>
    </row>
    <row r="242" spans="1:39" outlineLevel="1">
      <c r="A242" s="100"/>
      <c r="B242" s="100"/>
      <c r="C242" s="100"/>
      <c r="D242" s="179" t="str">
        <f t="shared" si="153"/>
        <v>Motor vehicles</v>
      </c>
      <c r="E242" s="165" t="str">
        <f>H592</f>
        <v>Terminal International</v>
      </c>
      <c r="F242" s="165"/>
      <c r="G242" s="165" t="s">
        <v>77</v>
      </c>
      <c r="H242" s="121"/>
      <c r="I242" s="165"/>
      <c r="J242" s="165"/>
      <c r="K242" s="305"/>
      <c r="L242" s="305"/>
      <c r="M242" s="306"/>
      <c r="N242" s="376">
        <f>[2]OUTPUT!N431</f>
        <v>0</v>
      </c>
      <c r="O242" s="197">
        <f t="shared" ref="O242:X242" si="160">SUM(O240:O241)</f>
        <v>0</v>
      </c>
      <c r="P242" s="164">
        <f t="shared" si="160"/>
        <v>0</v>
      </c>
      <c r="Q242" s="164">
        <f t="shared" si="160"/>
        <v>0</v>
      </c>
      <c r="R242" s="164">
        <f t="shared" si="160"/>
        <v>0</v>
      </c>
      <c r="S242" s="164">
        <f t="shared" si="160"/>
        <v>0</v>
      </c>
      <c r="T242" s="164">
        <f t="shared" si="160"/>
        <v>0</v>
      </c>
      <c r="U242" s="164">
        <f t="shared" si="160"/>
        <v>0</v>
      </c>
      <c r="V242" s="164">
        <f t="shared" si="160"/>
        <v>0</v>
      </c>
      <c r="W242" s="164">
        <f t="shared" si="160"/>
        <v>0</v>
      </c>
      <c r="X242" s="164">
        <f t="shared" si="160"/>
        <v>0</v>
      </c>
      <c r="Y242" s="164">
        <f>SUM(Y240:Y241)</f>
        <v>0</v>
      </c>
      <c r="Z242" s="164">
        <f t="shared" ref="Z242:AM242" si="161">SUM(Z240:Z241)</f>
        <v>0</v>
      </c>
      <c r="AA242" s="164">
        <f t="shared" si="161"/>
        <v>0</v>
      </c>
      <c r="AB242" s="164">
        <f t="shared" si="161"/>
        <v>0</v>
      </c>
      <c r="AC242" s="164">
        <f t="shared" si="161"/>
        <v>0</v>
      </c>
      <c r="AD242" s="164">
        <f t="shared" si="161"/>
        <v>0</v>
      </c>
      <c r="AE242" s="164">
        <f t="shared" si="161"/>
        <v>0</v>
      </c>
      <c r="AF242" s="164">
        <f t="shared" si="161"/>
        <v>0</v>
      </c>
      <c r="AG242" s="164">
        <f t="shared" si="161"/>
        <v>0</v>
      </c>
      <c r="AH242" s="164">
        <f t="shared" si="161"/>
        <v>0</v>
      </c>
      <c r="AI242" s="164">
        <f t="shared" si="161"/>
        <v>0</v>
      </c>
      <c r="AJ242" s="164">
        <f t="shared" si="161"/>
        <v>0</v>
      </c>
      <c r="AK242" s="164">
        <f t="shared" si="161"/>
        <v>0</v>
      </c>
      <c r="AL242" s="164">
        <f t="shared" si="161"/>
        <v>0</v>
      </c>
      <c r="AM242" s="164">
        <f t="shared" si="161"/>
        <v>0</v>
      </c>
    </row>
    <row r="243" spans="1:39" outlineLevel="1">
      <c r="A243" s="100"/>
      <c r="B243" s="100"/>
      <c r="C243" s="100"/>
      <c r="D243" s="179" t="str">
        <f t="shared" si="153"/>
        <v>Motor vehicles</v>
      </c>
      <c r="E243" s="165" t="str">
        <f>H592</f>
        <v>Terminal International</v>
      </c>
      <c r="F243" s="165"/>
      <c r="G243" s="200" t="s">
        <v>76</v>
      </c>
      <c r="H243" s="201"/>
      <c r="I243" s="200"/>
      <c r="J243" s="200"/>
      <c r="K243" s="198">
        <f t="shared" ref="K243:S243" si="162">K239-K242</f>
        <v>0</v>
      </c>
      <c r="L243" s="198">
        <f t="shared" si="162"/>
        <v>0</v>
      </c>
      <c r="M243" s="227">
        <f>N238</f>
        <v>0</v>
      </c>
      <c r="N243" s="199">
        <f>'[7]2008-2012 Asset Mov''t Revised'!$AS$78</f>
        <v>0</v>
      </c>
      <c r="O243" s="199">
        <f t="shared" si="162"/>
        <v>0</v>
      </c>
      <c r="P243" s="198">
        <f t="shared" si="162"/>
        <v>0</v>
      </c>
      <c r="Q243" s="198">
        <f t="shared" si="162"/>
        <v>0</v>
      </c>
      <c r="R243" s="198">
        <f t="shared" si="162"/>
        <v>0</v>
      </c>
      <c r="S243" s="198">
        <f t="shared" si="162"/>
        <v>0</v>
      </c>
      <c r="T243" s="198">
        <f t="shared" ref="T243:AM243" si="163">T239-T242</f>
        <v>0</v>
      </c>
      <c r="U243" s="198">
        <f t="shared" si="163"/>
        <v>0</v>
      </c>
      <c r="V243" s="198">
        <f t="shared" si="163"/>
        <v>0</v>
      </c>
      <c r="W243" s="198">
        <f t="shared" si="163"/>
        <v>0</v>
      </c>
      <c r="X243" s="198">
        <f t="shared" si="163"/>
        <v>0</v>
      </c>
      <c r="Y243" s="198">
        <f t="shared" si="163"/>
        <v>0</v>
      </c>
      <c r="Z243" s="198">
        <f t="shared" si="163"/>
        <v>0</v>
      </c>
      <c r="AA243" s="198">
        <f t="shared" si="163"/>
        <v>0</v>
      </c>
      <c r="AB243" s="198">
        <f t="shared" si="163"/>
        <v>0</v>
      </c>
      <c r="AC243" s="198">
        <f t="shared" si="163"/>
        <v>0</v>
      </c>
      <c r="AD243" s="198">
        <f t="shared" si="163"/>
        <v>0</v>
      </c>
      <c r="AE243" s="198">
        <f t="shared" si="163"/>
        <v>0</v>
      </c>
      <c r="AF243" s="198">
        <f t="shared" si="163"/>
        <v>0</v>
      </c>
      <c r="AG243" s="198">
        <f t="shared" si="163"/>
        <v>0</v>
      </c>
      <c r="AH243" s="198">
        <f t="shared" si="163"/>
        <v>0</v>
      </c>
      <c r="AI243" s="198">
        <f t="shared" si="163"/>
        <v>0</v>
      </c>
      <c r="AJ243" s="198">
        <f t="shared" si="163"/>
        <v>0</v>
      </c>
      <c r="AK243" s="198">
        <f t="shared" si="163"/>
        <v>0</v>
      </c>
      <c r="AL243" s="198">
        <f t="shared" si="163"/>
        <v>0</v>
      </c>
      <c r="AM243" s="198">
        <f t="shared" si="163"/>
        <v>0</v>
      </c>
    </row>
    <row r="244" spans="1:39" outlineLevel="1">
      <c r="A244" s="100"/>
      <c r="B244" s="100"/>
      <c r="C244" s="100"/>
      <c r="D244" s="179"/>
      <c r="E244" s="165"/>
      <c r="F244" s="165"/>
      <c r="G244" s="205"/>
      <c r="H244" s="121"/>
      <c r="I244" s="165"/>
      <c r="J244" s="165"/>
      <c r="K244" s="207"/>
      <c r="L244" s="164"/>
      <c r="M244" s="227"/>
      <c r="N244" s="197"/>
      <c r="O244" s="197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</row>
    <row r="245" spans="1:39" outlineLevel="1">
      <c r="A245" s="100"/>
      <c r="B245" s="100"/>
      <c r="C245" s="100"/>
      <c r="D245" s="179"/>
      <c r="E245" s="165"/>
      <c r="F245" s="165"/>
      <c r="G245" s="206" t="str">
        <f>G630</f>
        <v>Plant &amp; equipment</v>
      </c>
      <c r="H245" s="121"/>
      <c r="I245" s="165"/>
      <c r="J245" s="165"/>
      <c r="K245" s="207"/>
      <c r="L245" s="164"/>
      <c r="M245" s="227"/>
      <c r="N245" s="197"/>
      <c r="O245" s="197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</row>
    <row r="246" spans="1:39" outlineLevel="1">
      <c r="A246" s="100"/>
      <c r="B246" s="100"/>
      <c r="C246" s="100"/>
      <c r="D246" s="179"/>
      <c r="E246" s="165"/>
      <c r="F246" s="165"/>
      <c r="G246" s="205"/>
      <c r="H246" s="121"/>
      <c r="I246" s="165"/>
      <c r="J246" s="165"/>
      <c r="K246" s="207"/>
      <c r="L246" s="164"/>
      <c r="M246" s="227"/>
      <c r="N246" s="197"/>
      <c r="O246" s="197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</row>
    <row r="247" spans="1:39" outlineLevel="1">
      <c r="A247" s="100"/>
      <c r="B247" s="100"/>
      <c r="C247" s="100"/>
      <c r="D247" s="179" t="s">
        <v>34</v>
      </c>
      <c r="E247" s="165" t="str">
        <f>H592</f>
        <v>Terminal International</v>
      </c>
      <c r="F247" s="165"/>
      <c r="G247" s="165" t="s">
        <v>80</v>
      </c>
      <c r="H247" s="121"/>
      <c r="I247" s="165"/>
      <c r="J247" s="165"/>
      <c r="K247" s="164"/>
      <c r="L247" s="164"/>
      <c r="M247" s="227"/>
      <c r="N247" s="376"/>
      <c r="O247" s="197">
        <f>$N$252</f>
        <v>460098.2306231953</v>
      </c>
      <c r="P247" s="164">
        <f t="shared" ref="P247:X247" si="164">O252</f>
        <v>414088.40756087576</v>
      </c>
      <c r="Q247" s="164">
        <f t="shared" si="164"/>
        <v>368078.58449855621</v>
      </c>
      <c r="R247" s="164">
        <f t="shared" si="164"/>
        <v>322068.76143623673</v>
      </c>
      <c r="S247" s="164">
        <f t="shared" si="164"/>
        <v>276058.93837391719</v>
      </c>
      <c r="T247" s="164">
        <f t="shared" si="164"/>
        <v>230049.11531159765</v>
      </c>
      <c r="U247" s="164">
        <f t="shared" si="164"/>
        <v>184039.29224927811</v>
      </c>
      <c r="V247" s="164">
        <f t="shared" si="164"/>
        <v>138029.46918695857</v>
      </c>
      <c r="W247" s="164">
        <f t="shared" si="164"/>
        <v>92019.646124639024</v>
      </c>
      <c r="X247" s="164">
        <f t="shared" si="164"/>
        <v>46009.823062319483</v>
      </c>
      <c r="Y247" s="164">
        <f t="shared" ref="Y247:AM247" si="165">X252</f>
        <v>0</v>
      </c>
      <c r="Z247" s="164">
        <f t="shared" si="165"/>
        <v>0</v>
      </c>
      <c r="AA247" s="164">
        <f t="shared" si="165"/>
        <v>0</v>
      </c>
      <c r="AB247" s="164">
        <f t="shared" si="165"/>
        <v>0</v>
      </c>
      <c r="AC247" s="164">
        <f t="shared" si="165"/>
        <v>0</v>
      </c>
      <c r="AD247" s="164">
        <f t="shared" si="165"/>
        <v>0</v>
      </c>
      <c r="AE247" s="164">
        <f t="shared" si="165"/>
        <v>0</v>
      </c>
      <c r="AF247" s="164">
        <f t="shared" si="165"/>
        <v>0</v>
      </c>
      <c r="AG247" s="164">
        <f t="shared" si="165"/>
        <v>0</v>
      </c>
      <c r="AH247" s="164">
        <f t="shared" si="165"/>
        <v>0</v>
      </c>
      <c r="AI247" s="164">
        <f t="shared" si="165"/>
        <v>0</v>
      </c>
      <c r="AJ247" s="164">
        <f t="shared" si="165"/>
        <v>0</v>
      </c>
      <c r="AK247" s="164">
        <f t="shared" si="165"/>
        <v>0</v>
      </c>
      <c r="AL247" s="164">
        <f t="shared" si="165"/>
        <v>0</v>
      </c>
      <c r="AM247" s="164">
        <f t="shared" si="165"/>
        <v>0</v>
      </c>
    </row>
    <row r="248" spans="1:39" outlineLevel="1">
      <c r="A248" s="100"/>
      <c r="B248" s="100"/>
      <c r="C248" s="100"/>
      <c r="D248" s="179" t="s">
        <v>34</v>
      </c>
      <c r="E248" s="165" t="str">
        <f>H592</f>
        <v>Terminal International</v>
      </c>
      <c r="F248" s="165"/>
      <c r="G248" s="165" t="s">
        <v>60</v>
      </c>
      <c r="H248" s="121"/>
      <c r="I248" s="165"/>
      <c r="J248" s="165"/>
      <c r="K248" s="303"/>
      <c r="L248" s="303"/>
      <c r="M248" s="304"/>
      <c r="N248" s="376"/>
      <c r="O248" s="197">
        <f>$N$252</f>
        <v>460098.2306231953</v>
      </c>
      <c r="P248" s="164">
        <f t="shared" ref="P248:X248" si="166">O248</f>
        <v>460098.2306231953</v>
      </c>
      <c r="Q248" s="164">
        <f t="shared" si="166"/>
        <v>460098.2306231953</v>
      </c>
      <c r="R248" s="164">
        <f t="shared" si="166"/>
        <v>460098.2306231953</v>
      </c>
      <c r="S248" s="164">
        <f t="shared" si="166"/>
        <v>460098.2306231953</v>
      </c>
      <c r="T248" s="164">
        <f t="shared" si="166"/>
        <v>460098.2306231953</v>
      </c>
      <c r="U248" s="164">
        <f t="shared" si="166"/>
        <v>460098.2306231953</v>
      </c>
      <c r="V248" s="164">
        <f t="shared" si="166"/>
        <v>460098.2306231953</v>
      </c>
      <c r="W248" s="164">
        <f t="shared" si="166"/>
        <v>460098.2306231953</v>
      </c>
      <c r="X248" s="164">
        <f t="shared" si="166"/>
        <v>460098.2306231953</v>
      </c>
      <c r="Y248" s="164">
        <f t="shared" ref="Y248:AM248" si="167">X248</f>
        <v>460098.2306231953</v>
      </c>
      <c r="Z248" s="164">
        <f t="shared" si="167"/>
        <v>460098.2306231953</v>
      </c>
      <c r="AA248" s="164">
        <f t="shared" si="167"/>
        <v>460098.2306231953</v>
      </c>
      <c r="AB248" s="164">
        <f t="shared" si="167"/>
        <v>460098.2306231953</v>
      </c>
      <c r="AC248" s="164">
        <f t="shared" si="167"/>
        <v>460098.2306231953</v>
      </c>
      <c r="AD248" s="164">
        <f t="shared" si="167"/>
        <v>460098.2306231953</v>
      </c>
      <c r="AE248" s="164">
        <f t="shared" si="167"/>
        <v>460098.2306231953</v>
      </c>
      <c r="AF248" s="164">
        <f t="shared" si="167"/>
        <v>460098.2306231953</v>
      </c>
      <c r="AG248" s="164">
        <f t="shared" si="167"/>
        <v>460098.2306231953</v>
      </c>
      <c r="AH248" s="164">
        <f t="shared" si="167"/>
        <v>460098.2306231953</v>
      </c>
      <c r="AI248" s="164">
        <f t="shared" si="167"/>
        <v>460098.2306231953</v>
      </c>
      <c r="AJ248" s="164">
        <f t="shared" si="167"/>
        <v>460098.2306231953</v>
      </c>
      <c r="AK248" s="164">
        <f t="shared" si="167"/>
        <v>460098.2306231953</v>
      </c>
      <c r="AL248" s="164">
        <f t="shared" si="167"/>
        <v>460098.2306231953</v>
      </c>
      <c r="AM248" s="164">
        <f t="shared" si="167"/>
        <v>460098.2306231953</v>
      </c>
    </row>
    <row r="249" spans="1:39" outlineLevel="1">
      <c r="A249" s="100"/>
      <c r="B249" s="100"/>
      <c r="C249" s="100"/>
      <c r="D249" s="179" t="s">
        <v>34</v>
      </c>
      <c r="E249" s="165" t="str">
        <f>H592</f>
        <v>Terminal International</v>
      </c>
      <c r="F249" s="165"/>
      <c r="G249" s="165" t="s">
        <v>79</v>
      </c>
      <c r="H249" s="121"/>
      <c r="I249" s="165"/>
      <c r="J249" s="165"/>
      <c r="K249" s="303"/>
      <c r="L249" s="303"/>
      <c r="M249" s="202"/>
      <c r="N249" s="376"/>
      <c r="O249" s="197">
        <f t="shared" ref="O249:X249" si="168">N251</f>
        <v>0</v>
      </c>
      <c r="P249" s="164">
        <f t="shared" si="168"/>
        <v>46009.823062319527</v>
      </c>
      <c r="Q249" s="164">
        <f t="shared" si="168"/>
        <v>92019.646124639054</v>
      </c>
      <c r="R249" s="164">
        <f t="shared" si="168"/>
        <v>138029.46918695857</v>
      </c>
      <c r="S249" s="164">
        <f t="shared" si="168"/>
        <v>184039.29224927811</v>
      </c>
      <c r="T249" s="164">
        <f t="shared" si="168"/>
        <v>230049.11531159765</v>
      </c>
      <c r="U249" s="164">
        <f t="shared" si="168"/>
        <v>276058.93837391719</v>
      </c>
      <c r="V249" s="164">
        <f t="shared" si="168"/>
        <v>322068.76143623673</v>
      </c>
      <c r="W249" s="164">
        <f t="shared" si="168"/>
        <v>368078.58449855627</v>
      </c>
      <c r="X249" s="164">
        <f t="shared" si="168"/>
        <v>414088.40756087581</v>
      </c>
      <c r="Y249" s="164">
        <f t="shared" ref="Y249:AM249" si="169">X251</f>
        <v>460098.2306231953</v>
      </c>
      <c r="Z249" s="164">
        <f t="shared" si="169"/>
        <v>460098.2306231953</v>
      </c>
      <c r="AA249" s="164">
        <f t="shared" si="169"/>
        <v>460098.2306231953</v>
      </c>
      <c r="AB249" s="164">
        <f t="shared" si="169"/>
        <v>460098.2306231953</v>
      </c>
      <c r="AC249" s="164">
        <f t="shared" si="169"/>
        <v>460098.2306231953</v>
      </c>
      <c r="AD249" s="164">
        <f t="shared" si="169"/>
        <v>460098.2306231953</v>
      </c>
      <c r="AE249" s="164">
        <f t="shared" si="169"/>
        <v>460098.2306231953</v>
      </c>
      <c r="AF249" s="164">
        <f t="shared" si="169"/>
        <v>460098.2306231953</v>
      </c>
      <c r="AG249" s="164">
        <f t="shared" si="169"/>
        <v>460098.2306231953</v>
      </c>
      <c r="AH249" s="164">
        <f t="shared" si="169"/>
        <v>460098.2306231953</v>
      </c>
      <c r="AI249" s="164">
        <f t="shared" si="169"/>
        <v>460098.2306231953</v>
      </c>
      <c r="AJ249" s="164">
        <f t="shared" si="169"/>
        <v>460098.2306231953</v>
      </c>
      <c r="AK249" s="164">
        <f t="shared" si="169"/>
        <v>460098.2306231953</v>
      </c>
      <c r="AL249" s="164">
        <f t="shared" si="169"/>
        <v>460098.2306231953</v>
      </c>
      <c r="AM249" s="164">
        <f t="shared" si="169"/>
        <v>460098.2306231953</v>
      </c>
    </row>
    <row r="250" spans="1:39" outlineLevel="1">
      <c r="A250" s="100"/>
      <c r="B250" s="100"/>
      <c r="C250" s="100"/>
      <c r="D250" s="179" t="s">
        <v>34</v>
      </c>
      <c r="E250" s="165" t="str">
        <f>H592</f>
        <v>Terminal International</v>
      </c>
      <c r="F250" s="165"/>
      <c r="G250" s="165" t="s">
        <v>78</v>
      </c>
      <c r="H250" s="121"/>
      <c r="I250" s="165"/>
      <c r="J250" s="165"/>
      <c r="K250" s="303"/>
      <c r="L250" s="303"/>
      <c r="M250" s="202"/>
      <c r="N250" s="376"/>
      <c r="O250" s="197">
        <f>IFERROR(MIN(O247,O248/'Asset base'!O$101),0)</f>
        <v>46009.823062319527</v>
      </c>
      <c r="P250" s="164">
        <f>IFERROR(MIN(P247,P248/'Asset base'!P$101),0)</f>
        <v>46009.823062319527</v>
      </c>
      <c r="Q250" s="164">
        <f>IFERROR(MIN(Q247,Q248/'Asset base'!Q$101),0)</f>
        <v>46009.823062319527</v>
      </c>
      <c r="R250" s="164">
        <f>IFERROR(MIN(R247,R248/'Asset base'!R$101),0)</f>
        <v>46009.823062319527</v>
      </c>
      <c r="S250" s="164">
        <f>IFERROR(MIN(S247,S248/'Asset base'!S$101),0)</f>
        <v>46009.823062319527</v>
      </c>
      <c r="T250" s="164">
        <f>IFERROR(MIN(T247,T248/'Asset base'!T$101),0)</f>
        <v>46009.823062319527</v>
      </c>
      <c r="U250" s="164">
        <f>IFERROR(MIN(U247,U248/'Asset base'!U$101),0)</f>
        <v>46009.823062319527</v>
      </c>
      <c r="V250" s="164">
        <f>IFERROR(MIN(V247,V248/'Asset base'!V$101),0)</f>
        <v>46009.823062319527</v>
      </c>
      <c r="W250" s="164">
        <f>IFERROR(MIN(W247,W248/'Asset base'!W$101),0)</f>
        <v>46009.823062319527</v>
      </c>
      <c r="X250" s="164">
        <f>IFERROR(MIN(X247,X248/'Asset base'!X$101),0)</f>
        <v>46009.823062319483</v>
      </c>
      <c r="Y250" s="164">
        <f>IFERROR(MIN(Y247,Y248/'Asset base'!Y$101),0)</f>
        <v>0</v>
      </c>
      <c r="Z250" s="164">
        <f>IFERROR(MIN(Z247,Z248/'Asset base'!Z$101),0)</f>
        <v>0</v>
      </c>
      <c r="AA250" s="164">
        <f>IFERROR(MIN(AA247,AA248/'Asset base'!AA$101),0)</f>
        <v>0</v>
      </c>
      <c r="AB250" s="164">
        <f>IFERROR(MIN(AB247,AB248/'Asset base'!AB$101),0)</f>
        <v>0</v>
      </c>
      <c r="AC250" s="164">
        <f>IFERROR(MIN(AC247,AC248/'Asset base'!AC$101),0)</f>
        <v>0</v>
      </c>
      <c r="AD250" s="164">
        <f>IFERROR(MIN(AD247,AD248/'Asset base'!AD$101),0)</f>
        <v>0</v>
      </c>
      <c r="AE250" s="164">
        <f>IFERROR(MIN(AE247,AE248/'Asset base'!AE$101),0)</f>
        <v>0</v>
      </c>
      <c r="AF250" s="164">
        <f>IFERROR(MIN(AF247,AF248/'Asset base'!AF$101),0)</f>
        <v>0</v>
      </c>
      <c r="AG250" s="164">
        <f>IFERROR(MIN(AG247,AG248/'Asset base'!AG$101),0)</f>
        <v>0</v>
      </c>
      <c r="AH250" s="164">
        <f>IFERROR(MIN(AH247,AH248/'Asset base'!AH$101),0)</f>
        <v>0</v>
      </c>
      <c r="AI250" s="164">
        <f>IFERROR(MIN(AI247,AI248/'Asset base'!AI$101),0)</f>
        <v>0</v>
      </c>
      <c r="AJ250" s="164">
        <f>IFERROR(MIN(AJ247,AJ248/'Asset base'!AJ$101),0)</f>
        <v>0</v>
      </c>
      <c r="AK250" s="164">
        <f>IFERROR(MIN(AK247,AK248/'Asset base'!AK$101),0)</f>
        <v>0</v>
      </c>
      <c r="AL250" s="164">
        <f>IFERROR(MIN(AL247,AL248/'Asset base'!AL$101),0)</f>
        <v>0</v>
      </c>
      <c r="AM250" s="164">
        <f>IFERROR(MIN(AM247,AM248/'Asset base'!AM$101),0)</f>
        <v>0</v>
      </c>
    </row>
    <row r="251" spans="1:39" outlineLevel="1">
      <c r="A251" s="100"/>
      <c r="B251" s="100"/>
      <c r="C251" s="100"/>
      <c r="D251" s="179" t="s">
        <v>34</v>
      </c>
      <c r="E251" s="165" t="str">
        <f>H592</f>
        <v>Terminal International</v>
      </c>
      <c r="F251" s="165"/>
      <c r="G251" s="165" t="s">
        <v>77</v>
      </c>
      <c r="H251" s="121"/>
      <c r="I251" s="165"/>
      <c r="J251" s="165"/>
      <c r="K251" s="305"/>
      <c r="L251" s="305"/>
      <c r="M251" s="306"/>
      <c r="N251" s="376"/>
      <c r="O251" s="197">
        <f t="shared" ref="O251:X251" si="170">SUM(O249:O250)</f>
        <v>46009.823062319527</v>
      </c>
      <c r="P251" s="164">
        <f t="shared" si="170"/>
        <v>92019.646124639054</v>
      </c>
      <c r="Q251" s="164">
        <f t="shared" si="170"/>
        <v>138029.46918695857</v>
      </c>
      <c r="R251" s="164">
        <f t="shared" si="170"/>
        <v>184039.29224927811</v>
      </c>
      <c r="S251" s="164">
        <f t="shared" si="170"/>
        <v>230049.11531159765</v>
      </c>
      <c r="T251" s="164">
        <f t="shared" si="170"/>
        <v>276058.93837391719</v>
      </c>
      <c r="U251" s="164">
        <f t="shared" si="170"/>
        <v>322068.76143623673</v>
      </c>
      <c r="V251" s="164">
        <f t="shared" si="170"/>
        <v>368078.58449855627</v>
      </c>
      <c r="W251" s="164">
        <f t="shared" si="170"/>
        <v>414088.40756087581</v>
      </c>
      <c r="X251" s="164">
        <f t="shared" si="170"/>
        <v>460098.2306231953</v>
      </c>
      <c r="Y251" s="164">
        <f>SUM(Y249:Y250)</f>
        <v>460098.2306231953</v>
      </c>
      <c r="Z251" s="164">
        <f t="shared" ref="Z251:AM251" si="171">SUM(Z249:Z250)</f>
        <v>460098.2306231953</v>
      </c>
      <c r="AA251" s="164">
        <f t="shared" si="171"/>
        <v>460098.2306231953</v>
      </c>
      <c r="AB251" s="164">
        <f t="shared" si="171"/>
        <v>460098.2306231953</v>
      </c>
      <c r="AC251" s="164">
        <f t="shared" si="171"/>
        <v>460098.2306231953</v>
      </c>
      <c r="AD251" s="164">
        <f t="shared" si="171"/>
        <v>460098.2306231953</v>
      </c>
      <c r="AE251" s="164">
        <f t="shared" si="171"/>
        <v>460098.2306231953</v>
      </c>
      <c r="AF251" s="164">
        <f t="shared" si="171"/>
        <v>460098.2306231953</v>
      </c>
      <c r="AG251" s="164">
        <f t="shared" si="171"/>
        <v>460098.2306231953</v>
      </c>
      <c r="AH251" s="164">
        <f t="shared" si="171"/>
        <v>460098.2306231953</v>
      </c>
      <c r="AI251" s="164">
        <f t="shared" si="171"/>
        <v>460098.2306231953</v>
      </c>
      <c r="AJ251" s="164">
        <f t="shared" si="171"/>
        <v>460098.2306231953</v>
      </c>
      <c r="AK251" s="164">
        <f t="shared" si="171"/>
        <v>460098.2306231953</v>
      </c>
      <c r="AL251" s="164">
        <f t="shared" si="171"/>
        <v>460098.2306231953</v>
      </c>
      <c r="AM251" s="164">
        <f t="shared" si="171"/>
        <v>460098.2306231953</v>
      </c>
    </row>
    <row r="252" spans="1:39" outlineLevel="1">
      <c r="A252" s="100"/>
      <c r="B252" s="100"/>
      <c r="C252" s="100"/>
      <c r="D252" s="179" t="s">
        <v>34</v>
      </c>
      <c r="E252" s="165" t="str">
        <f>H592</f>
        <v>Terminal International</v>
      </c>
      <c r="F252" s="165"/>
      <c r="G252" s="200" t="s">
        <v>76</v>
      </c>
      <c r="H252" s="201"/>
      <c r="I252" s="200"/>
      <c r="J252" s="200"/>
      <c r="K252" s="198">
        <f t="shared" ref="K252:S252" si="172">K248-K251</f>
        <v>0</v>
      </c>
      <c r="L252" s="198">
        <f t="shared" si="172"/>
        <v>0</v>
      </c>
      <c r="M252" s="227">
        <f>N247</f>
        <v>0</v>
      </c>
      <c r="N252" s="541">
        <f>'[7]2008-2012 Asset Mov''t Revised'!$AS$79</f>
        <v>460098.2306231953</v>
      </c>
      <c r="O252" s="199">
        <f t="shared" si="172"/>
        <v>414088.40756087576</v>
      </c>
      <c r="P252" s="198">
        <f t="shared" si="172"/>
        <v>368078.58449855621</v>
      </c>
      <c r="Q252" s="198">
        <f t="shared" si="172"/>
        <v>322068.76143623673</v>
      </c>
      <c r="R252" s="198">
        <f t="shared" si="172"/>
        <v>276058.93837391719</v>
      </c>
      <c r="S252" s="198">
        <f t="shared" si="172"/>
        <v>230049.11531159765</v>
      </c>
      <c r="T252" s="198">
        <f t="shared" ref="T252:AM252" si="173">T248-T251</f>
        <v>184039.29224927811</v>
      </c>
      <c r="U252" s="198">
        <f t="shared" si="173"/>
        <v>138029.46918695857</v>
      </c>
      <c r="V252" s="198">
        <f t="shared" si="173"/>
        <v>92019.646124639024</v>
      </c>
      <c r="W252" s="198">
        <f t="shared" si="173"/>
        <v>46009.823062319483</v>
      </c>
      <c r="X252" s="198">
        <f t="shared" si="173"/>
        <v>0</v>
      </c>
      <c r="Y252" s="198">
        <f t="shared" si="173"/>
        <v>0</v>
      </c>
      <c r="Z252" s="198">
        <f t="shared" si="173"/>
        <v>0</v>
      </c>
      <c r="AA252" s="198">
        <f t="shared" si="173"/>
        <v>0</v>
      </c>
      <c r="AB252" s="198">
        <f t="shared" si="173"/>
        <v>0</v>
      </c>
      <c r="AC252" s="198">
        <f t="shared" si="173"/>
        <v>0</v>
      </c>
      <c r="AD252" s="198">
        <f t="shared" si="173"/>
        <v>0</v>
      </c>
      <c r="AE252" s="198">
        <f t="shared" si="173"/>
        <v>0</v>
      </c>
      <c r="AF252" s="198">
        <f t="shared" si="173"/>
        <v>0</v>
      </c>
      <c r="AG252" s="198">
        <f t="shared" si="173"/>
        <v>0</v>
      </c>
      <c r="AH252" s="198">
        <f t="shared" si="173"/>
        <v>0</v>
      </c>
      <c r="AI252" s="198">
        <f t="shared" si="173"/>
        <v>0</v>
      </c>
      <c r="AJ252" s="198">
        <f t="shared" si="173"/>
        <v>0</v>
      </c>
      <c r="AK252" s="198">
        <f t="shared" si="173"/>
        <v>0</v>
      </c>
      <c r="AL252" s="198">
        <f t="shared" si="173"/>
        <v>0</v>
      </c>
      <c r="AM252" s="198">
        <f t="shared" si="173"/>
        <v>0</v>
      </c>
    </row>
    <row r="253" spans="1:39" outlineLevel="1">
      <c r="A253" s="100"/>
      <c r="B253" s="100"/>
      <c r="C253" s="100"/>
      <c r="D253" s="179"/>
      <c r="E253" s="165"/>
      <c r="F253" s="165"/>
      <c r="G253" s="165"/>
      <c r="H253" s="121"/>
      <c r="I253" s="165"/>
      <c r="J253" s="165"/>
      <c r="K253" s="164"/>
      <c r="L253" s="164"/>
      <c r="M253" s="227"/>
      <c r="N253" s="197"/>
      <c r="O253" s="197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</row>
    <row r="254" spans="1:39" outlineLevel="1">
      <c r="A254" s="100"/>
      <c r="B254" s="100"/>
      <c r="C254" s="100"/>
      <c r="D254" s="179"/>
      <c r="E254" s="165"/>
      <c r="F254" s="165"/>
      <c r="G254" s="206" t="str">
        <f>G639</f>
        <v>Airfield Runway Apron Taxi</v>
      </c>
      <c r="H254" s="121"/>
      <c r="I254" s="165"/>
      <c r="J254" s="165"/>
      <c r="K254" s="207"/>
      <c r="L254" s="164"/>
      <c r="M254" s="227"/>
      <c r="N254" s="197"/>
      <c r="O254" s="197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  <c r="AF254" s="165"/>
      <c r="AG254" s="165"/>
      <c r="AH254" s="165"/>
      <c r="AI254" s="165"/>
      <c r="AJ254" s="165"/>
      <c r="AK254" s="165"/>
      <c r="AL254" s="165"/>
      <c r="AM254" s="165"/>
    </row>
    <row r="255" spans="1:39" outlineLevel="1">
      <c r="A255" s="100"/>
      <c r="B255" s="100"/>
      <c r="C255" s="100"/>
      <c r="D255" s="179"/>
      <c r="E255" s="165"/>
      <c r="F255" s="165"/>
      <c r="G255" s="205"/>
      <c r="H255" s="121"/>
      <c r="I255" s="165"/>
      <c r="J255" s="165"/>
      <c r="K255" s="207"/>
      <c r="L255" s="164"/>
      <c r="M255" s="227"/>
      <c r="N255" s="197"/>
      <c r="O255" s="197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  <c r="AG255" s="165"/>
      <c r="AH255" s="165"/>
      <c r="AI255" s="165"/>
      <c r="AJ255" s="165"/>
      <c r="AK255" s="165"/>
      <c r="AL255" s="165"/>
      <c r="AM255" s="165"/>
    </row>
    <row r="256" spans="1:39" outlineLevel="1">
      <c r="A256" s="100"/>
      <c r="B256" s="100"/>
      <c r="C256" s="100"/>
      <c r="D256" s="179" t="str">
        <f t="shared" ref="D256:D261" si="174">$G$545</f>
        <v>Airfield Runway Apron Taxi</v>
      </c>
      <c r="E256" s="165" t="str">
        <f>H592</f>
        <v>Terminal International</v>
      </c>
      <c r="F256" s="165"/>
      <c r="G256" s="165" t="s">
        <v>80</v>
      </c>
      <c r="H256" s="121"/>
      <c r="I256" s="165"/>
      <c r="J256" s="165"/>
      <c r="K256" s="164"/>
      <c r="L256" s="164"/>
      <c r="M256" s="227"/>
      <c r="N256" s="376">
        <f>[2]OUTPUT!N445</f>
        <v>0</v>
      </c>
      <c r="O256" s="197">
        <f>N261</f>
        <v>0</v>
      </c>
      <c r="P256" s="164">
        <f t="shared" ref="P256:X256" si="175">O261</f>
        <v>0</v>
      </c>
      <c r="Q256" s="164">
        <f t="shared" si="175"/>
        <v>0</v>
      </c>
      <c r="R256" s="164">
        <f t="shared" si="175"/>
        <v>0</v>
      </c>
      <c r="S256" s="164">
        <f t="shared" si="175"/>
        <v>0</v>
      </c>
      <c r="T256" s="164">
        <f t="shared" si="175"/>
        <v>0</v>
      </c>
      <c r="U256" s="164">
        <f t="shared" si="175"/>
        <v>0</v>
      </c>
      <c r="V256" s="164">
        <f t="shared" si="175"/>
        <v>0</v>
      </c>
      <c r="W256" s="164">
        <f t="shared" si="175"/>
        <v>0</v>
      </c>
      <c r="X256" s="164">
        <f t="shared" si="175"/>
        <v>0</v>
      </c>
      <c r="Y256" s="164">
        <f t="shared" ref="Y256:AM256" si="176">X261</f>
        <v>0</v>
      </c>
      <c r="Z256" s="164">
        <f t="shared" si="176"/>
        <v>0</v>
      </c>
      <c r="AA256" s="164">
        <f t="shared" si="176"/>
        <v>0</v>
      </c>
      <c r="AB256" s="164">
        <f t="shared" si="176"/>
        <v>0</v>
      </c>
      <c r="AC256" s="164">
        <f t="shared" si="176"/>
        <v>0</v>
      </c>
      <c r="AD256" s="164">
        <f t="shared" si="176"/>
        <v>0</v>
      </c>
      <c r="AE256" s="164">
        <f t="shared" si="176"/>
        <v>0</v>
      </c>
      <c r="AF256" s="164">
        <f t="shared" si="176"/>
        <v>0</v>
      </c>
      <c r="AG256" s="164">
        <f t="shared" si="176"/>
        <v>0</v>
      </c>
      <c r="AH256" s="164">
        <f t="shared" si="176"/>
        <v>0</v>
      </c>
      <c r="AI256" s="164">
        <f t="shared" si="176"/>
        <v>0</v>
      </c>
      <c r="AJ256" s="164">
        <f t="shared" si="176"/>
        <v>0</v>
      </c>
      <c r="AK256" s="164">
        <f t="shared" si="176"/>
        <v>0</v>
      </c>
      <c r="AL256" s="164">
        <f t="shared" si="176"/>
        <v>0</v>
      </c>
      <c r="AM256" s="164">
        <f t="shared" si="176"/>
        <v>0</v>
      </c>
    </row>
    <row r="257" spans="1:39" outlineLevel="1">
      <c r="A257" s="100"/>
      <c r="B257" s="100"/>
      <c r="C257" s="100"/>
      <c r="D257" s="179" t="str">
        <f t="shared" si="174"/>
        <v>Airfield Runway Apron Taxi</v>
      </c>
      <c r="E257" s="165" t="str">
        <f>H592</f>
        <v>Terminal International</v>
      </c>
      <c r="F257" s="165"/>
      <c r="G257" s="165" t="s">
        <v>60</v>
      </c>
      <c r="H257" s="121"/>
      <c r="I257" s="165"/>
      <c r="J257" s="165"/>
      <c r="K257" s="303"/>
      <c r="L257" s="303"/>
      <c r="M257" s="304"/>
      <c r="N257" s="376">
        <f>[2]OUTPUT!N446</f>
        <v>0</v>
      </c>
      <c r="O257" s="197">
        <f>N261</f>
        <v>0</v>
      </c>
      <c r="P257" s="164">
        <f t="shared" ref="P257:X257" si="177">O257</f>
        <v>0</v>
      </c>
      <c r="Q257" s="164">
        <f t="shared" si="177"/>
        <v>0</v>
      </c>
      <c r="R257" s="164">
        <f t="shared" si="177"/>
        <v>0</v>
      </c>
      <c r="S257" s="164">
        <f t="shared" si="177"/>
        <v>0</v>
      </c>
      <c r="T257" s="164">
        <f t="shared" si="177"/>
        <v>0</v>
      </c>
      <c r="U257" s="164">
        <f t="shared" si="177"/>
        <v>0</v>
      </c>
      <c r="V257" s="164">
        <f t="shared" si="177"/>
        <v>0</v>
      </c>
      <c r="W257" s="164">
        <f t="shared" si="177"/>
        <v>0</v>
      </c>
      <c r="X257" s="164">
        <f t="shared" si="177"/>
        <v>0</v>
      </c>
      <c r="Y257" s="164">
        <f t="shared" ref="Y257:AM257" si="178">X257</f>
        <v>0</v>
      </c>
      <c r="Z257" s="164">
        <f t="shared" si="178"/>
        <v>0</v>
      </c>
      <c r="AA257" s="164">
        <f t="shared" si="178"/>
        <v>0</v>
      </c>
      <c r="AB257" s="164">
        <f t="shared" si="178"/>
        <v>0</v>
      </c>
      <c r="AC257" s="164">
        <f t="shared" si="178"/>
        <v>0</v>
      </c>
      <c r="AD257" s="164">
        <f t="shared" si="178"/>
        <v>0</v>
      </c>
      <c r="AE257" s="164">
        <f t="shared" si="178"/>
        <v>0</v>
      </c>
      <c r="AF257" s="164">
        <f t="shared" si="178"/>
        <v>0</v>
      </c>
      <c r="AG257" s="164">
        <f t="shared" si="178"/>
        <v>0</v>
      </c>
      <c r="AH257" s="164">
        <f t="shared" si="178"/>
        <v>0</v>
      </c>
      <c r="AI257" s="164">
        <f t="shared" si="178"/>
        <v>0</v>
      </c>
      <c r="AJ257" s="164">
        <f t="shared" si="178"/>
        <v>0</v>
      </c>
      <c r="AK257" s="164">
        <f t="shared" si="178"/>
        <v>0</v>
      </c>
      <c r="AL257" s="164">
        <f t="shared" si="178"/>
        <v>0</v>
      </c>
      <c r="AM257" s="164">
        <f t="shared" si="178"/>
        <v>0</v>
      </c>
    </row>
    <row r="258" spans="1:39" outlineLevel="1">
      <c r="A258" s="100"/>
      <c r="B258" s="100"/>
      <c r="C258" s="100"/>
      <c r="D258" s="179" t="str">
        <f t="shared" si="174"/>
        <v>Airfield Runway Apron Taxi</v>
      </c>
      <c r="E258" s="165" t="str">
        <f>H592</f>
        <v>Terminal International</v>
      </c>
      <c r="F258" s="165"/>
      <c r="G258" s="165" t="s">
        <v>79</v>
      </c>
      <c r="H258" s="121"/>
      <c r="I258" s="165"/>
      <c r="J258" s="165"/>
      <c r="K258" s="303"/>
      <c r="L258" s="303"/>
      <c r="M258" s="202"/>
      <c r="N258" s="376">
        <f>[2]OUTPUT!N447</f>
        <v>0</v>
      </c>
      <c r="O258" s="197">
        <f t="shared" ref="O258:X258" si="179">N260</f>
        <v>0</v>
      </c>
      <c r="P258" s="164">
        <f t="shared" si="179"/>
        <v>0</v>
      </c>
      <c r="Q258" s="164">
        <f t="shared" si="179"/>
        <v>0</v>
      </c>
      <c r="R258" s="164">
        <f t="shared" si="179"/>
        <v>0</v>
      </c>
      <c r="S258" s="164">
        <f t="shared" si="179"/>
        <v>0</v>
      </c>
      <c r="T258" s="164">
        <f t="shared" si="179"/>
        <v>0</v>
      </c>
      <c r="U258" s="164">
        <f t="shared" si="179"/>
        <v>0</v>
      </c>
      <c r="V258" s="164">
        <f t="shared" si="179"/>
        <v>0</v>
      </c>
      <c r="W258" s="164">
        <f t="shared" si="179"/>
        <v>0</v>
      </c>
      <c r="X258" s="164">
        <f t="shared" si="179"/>
        <v>0</v>
      </c>
      <c r="Y258" s="164">
        <f t="shared" ref="Y258:AM258" si="180">X260</f>
        <v>0</v>
      </c>
      <c r="Z258" s="164">
        <f t="shared" si="180"/>
        <v>0</v>
      </c>
      <c r="AA258" s="164">
        <f t="shared" si="180"/>
        <v>0</v>
      </c>
      <c r="AB258" s="164">
        <f t="shared" si="180"/>
        <v>0</v>
      </c>
      <c r="AC258" s="164">
        <f t="shared" si="180"/>
        <v>0</v>
      </c>
      <c r="AD258" s="164">
        <f t="shared" si="180"/>
        <v>0</v>
      </c>
      <c r="AE258" s="164">
        <f t="shared" si="180"/>
        <v>0</v>
      </c>
      <c r="AF258" s="164">
        <f t="shared" si="180"/>
        <v>0</v>
      </c>
      <c r="AG258" s="164">
        <f t="shared" si="180"/>
        <v>0</v>
      </c>
      <c r="AH258" s="164">
        <f t="shared" si="180"/>
        <v>0</v>
      </c>
      <c r="AI258" s="164">
        <f t="shared" si="180"/>
        <v>0</v>
      </c>
      <c r="AJ258" s="164">
        <f t="shared" si="180"/>
        <v>0</v>
      </c>
      <c r="AK258" s="164">
        <f t="shared" si="180"/>
        <v>0</v>
      </c>
      <c r="AL258" s="164">
        <f t="shared" si="180"/>
        <v>0</v>
      </c>
      <c r="AM258" s="164">
        <f t="shared" si="180"/>
        <v>0</v>
      </c>
    </row>
    <row r="259" spans="1:39" outlineLevel="1">
      <c r="A259" s="100"/>
      <c r="B259" s="100"/>
      <c r="C259" s="100"/>
      <c r="D259" s="179" t="str">
        <f t="shared" si="174"/>
        <v>Airfield Runway Apron Taxi</v>
      </c>
      <c r="E259" s="165" t="str">
        <f>H592</f>
        <v>Terminal International</v>
      </c>
      <c r="F259" s="165"/>
      <c r="G259" s="165" t="s">
        <v>78</v>
      </c>
      <c r="H259" s="121"/>
      <c r="I259" s="165"/>
      <c r="J259" s="165"/>
      <c r="K259" s="303"/>
      <c r="L259" s="303"/>
      <c r="M259" s="202"/>
      <c r="N259" s="376">
        <f>[2]OUTPUT!N448</f>
        <v>0</v>
      </c>
      <c r="O259" s="197">
        <f>IFERROR(MIN(O256,O257/'Asset base'!O$102),0)</f>
        <v>0</v>
      </c>
      <c r="P259" s="164">
        <f>IFERROR(MIN(P256,P257/'Asset base'!P$102),0)</f>
        <v>0</v>
      </c>
      <c r="Q259" s="164">
        <f>IFERROR(MIN(Q256,Q257/'Asset base'!Q$102),0)</f>
        <v>0</v>
      </c>
      <c r="R259" s="164">
        <f>IFERROR(MIN(R256,R257/'Asset base'!R$102),0)</f>
        <v>0</v>
      </c>
      <c r="S259" s="164">
        <f>IFERROR(MIN(S256,S257/'Asset base'!S$102),0)</f>
        <v>0</v>
      </c>
      <c r="T259" s="164">
        <f>IFERROR(MIN(T256,T257/'Asset base'!T$102),0)</f>
        <v>0</v>
      </c>
      <c r="U259" s="164">
        <f>IFERROR(MIN(U256,U257/'Asset base'!U$102),0)</f>
        <v>0</v>
      </c>
      <c r="V259" s="164">
        <f>IFERROR(MIN(V256,V257/'Asset base'!V$102),0)</f>
        <v>0</v>
      </c>
      <c r="W259" s="164">
        <f>IFERROR(MIN(W256,W257/'Asset base'!W$102),0)</f>
        <v>0</v>
      </c>
      <c r="X259" s="164">
        <f>IFERROR(MIN(X256,X257/'Asset base'!X$102),0)</f>
        <v>0</v>
      </c>
      <c r="Y259" s="164">
        <f>IFERROR(MIN(Y256,Y257/'Asset base'!Y$102),0)</f>
        <v>0</v>
      </c>
      <c r="Z259" s="164">
        <f>IFERROR(MIN(Z256,Z257/'Asset base'!Z$102),0)</f>
        <v>0</v>
      </c>
      <c r="AA259" s="164">
        <f>IFERROR(MIN(AA256,AA257/'Asset base'!AA$102),0)</f>
        <v>0</v>
      </c>
      <c r="AB259" s="164">
        <f>IFERROR(MIN(AB256,AB257/'Asset base'!AB$102),0)</f>
        <v>0</v>
      </c>
      <c r="AC259" s="164">
        <f>IFERROR(MIN(AC256,AC257/'Asset base'!AC$102),0)</f>
        <v>0</v>
      </c>
      <c r="AD259" s="164">
        <f>IFERROR(MIN(AD256,AD257/'Asset base'!AD$102),0)</f>
        <v>0</v>
      </c>
      <c r="AE259" s="164">
        <f>IFERROR(MIN(AE256,AE257/'Asset base'!AE$102),0)</f>
        <v>0</v>
      </c>
      <c r="AF259" s="164">
        <f>IFERROR(MIN(AF256,AF257/'Asset base'!AF$102),0)</f>
        <v>0</v>
      </c>
      <c r="AG259" s="164">
        <f>IFERROR(MIN(AG256,AG257/'Asset base'!AG$102),0)</f>
        <v>0</v>
      </c>
      <c r="AH259" s="164">
        <f>IFERROR(MIN(AH256,AH257/'Asset base'!AH$102),0)</f>
        <v>0</v>
      </c>
      <c r="AI259" s="164">
        <f>IFERROR(MIN(AI256,AI257/'Asset base'!AI$102),0)</f>
        <v>0</v>
      </c>
      <c r="AJ259" s="164">
        <f>IFERROR(MIN(AJ256,AJ257/'Asset base'!AJ$102),0)</f>
        <v>0</v>
      </c>
      <c r="AK259" s="164">
        <f>IFERROR(MIN(AK256,AK257/'Asset base'!AK$102),0)</f>
        <v>0</v>
      </c>
      <c r="AL259" s="164">
        <f>IFERROR(MIN(AL256,AL257/'Asset base'!AL$102),0)</f>
        <v>0</v>
      </c>
      <c r="AM259" s="164">
        <f>IFERROR(MIN(AM256,AM257/'Asset base'!AM$102),0)</f>
        <v>0</v>
      </c>
    </row>
    <row r="260" spans="1:39" outlineLevel="1">
      <c r="A260" s="100"/>
      <c r="B260" s="100"/>
      <c r="C260" s="100"/>
      <c r="D260" s="179" t="str">
        <f t="shared" si="174"/>
        <v>Airfield Runway Apron Taxi</v>
      </c>
      <c r="E260" s="165" t="str">
        <f>H592</f>
        <v>Terminal International</v>
      </c>
      <c r="F260" s="165"/>
      <c r="G260" s="165" t="s">
        <v>77</v>
      </c>
      <c r="H260" s="121"/>
      <c r="I260" s="165"/>
      <c r="J260" s="165"/>
      <c r="K260" s="305"/>
      <c r="L260" s="305"/>
      <c r="M260" s="306"/>
      <c r="N260" s="376">
        <f>[2]OUTPUT!N449</f>
        <v>0</v>
      </c>
      <c r="O260" s="197">
        <f t="shared" ref="O260:X260" si="181">SUM(O258:O259)</f>
        <v>0</v>
      </c>
      <c r="P260" s="164">
        <f t="shared" si="181"/>
        <v>0</v>
      </c>
      <c r="Q260" s="164">
        <f t="shared" si="181"/>
        <v>0</v>
      </c>
      <c r="R260" s="164">
        <f t="shared" si="181"/>
        <v>0</v>
      </c>
      <c r="S260" s="164">
        <f t="shared" si="181"/>
        <v>0</v>
      </c>
      <c r="T260" s="164">
        <f t="shared" si="181"/>
        <v>0</v>
      </c>
      <c r="U260" s="164">
        <f t="shared" si="181"/>
        <v>0</v>
      </c>
      <c r="V260" s="164">
        <f t="shared" si="181"/>
        <v>0</v>
      </c>
      <c r="W260" s="164">
        <f t="shared" si="181"/>
        <v>0</v>
      </c>
      <c r="X260" s="164">
        <f t="shared" si="181"/>
        <v>0</v>
      </c>
      <c r="Y260" s="164">
        <f>SUM(Y258:Y259)</f>
        <v>0</v>
      </c>
      <c r="Z260" s="164">
        <f t="shared" ref="Z260:AM260" si="182">SUM(Z258:Z259)</f>
        <v>0</v>
      </c>
      <c r="AA260" s="164">
        <f t="shared" si="182"/>
        <v>0</v>
      </c>
      <c r="AB260" s="164">
        <f t="shared" si="182"/>
        <v>0</v>
      </c>
      <c r="AC260" s="164">
        <f t="shared" si="182"/>
        <v>0</v>
      </c>
      <c r="AD260" s="164">
        <f t="shared" si="182"/>
        <v>0</v>
      </c>
      <c r="AE260" s="164">
        <f t="shared" si="182"/>
        <v>0</v>
      </c>
      <c r="AF260" s="164">
        <f t="shared" si="182"/>
        <v>0</v>
      </c>
      <c r="AG260" s="164">
        <f t="shared" si="182"/>
        <v>0</v>
      </c>
      <c r="AH260" s="164">
        <f t="shared" si="182"/>
        <v>0</v>
      </c>
      <c r="AI260" s="164">
        <f t="shared" si="182"/>
        <v>0</v>
      </c>
      <c r="AJ260" s="164">
        <f t="shared" si="182"/>
        <v>0</v>
      </c>
      <c r="AK260" s="164">
        <f t="shared" si="182"/>
        <v>0</v>
      </c>
      <c r="AL260" s="164">
        <f t="shared" si="182"/>
        <v>0</v>
      </c>
      <c r="AM260" s="164">
        <f t="shared" si="182"/>
        <v>0</v>
      </c>
    </row>
    <row r="261" spans="1:39" outlineLevel="1">
      <c r="A261" s="100"/>
      <c r="B261" s="100"/>
      <c r="C261" s="100"/>
      <c r="D261" s="179" t="str">
        <f t="shared" si="174"/>
        <v>Airfield Runway Apron Taxi</v>
      </c>
      <c r="E261" s="165" t="str">
        <f>H592</f>
        <v>Terminal International</v>
      </c>
      <c r="F261" s="165"/>
      <c r="G261" s="200" t="s">
        <v>76</v>
      </c>
      <c r="H261" s="201"/>
      <c r="I261" s="200"/>
      <c r="J261" s="200"/>
      <c r="K261" s="198">
        <f t="shared" ref="K261:S261" si="183">K257-K260</f>
        <v>0</v>
      </c>
      <c r="L261" s="198">
        <f t="shared" si="183"/>
        <v>0</v>
      </c>
      <c r="M261" s="227">
        <f>N256</f>
        <v>0</v>
      </c>
      <c r="N261" s="199">
        <f>'[7]2008-2012 Asset Mov''t Revised'!$AS$80</f>
        <v>0</v>
      </c>
      <c r="O261" s="199">
        <f t="shared" si="183"/>
        <v>0</v>
      </c>
      <c r="P261" s="198">
        <f t="shared" si="183"/>
        <v>0</v>
      </c>
      <c r="Q261" s="198">
        <f t="shared" si="183"/>
        <v>0</v>
      </c>
      <c r="R261" s="198">
        <f t="shared" si="183"/>
        <v>0</v>
      </c>
      <c r="S261" s="198">
        <f t="shared" si="183"/>
        <v>0</v>
      </c>
      <c r="T261" s="198">
        <f t="shared" ref="T261:AM261" si="184">T257-T260</f>
        <v>0</v>
      </c>
      <c r="U261" s="198">
        <f t="shared" si="184"/>
        <v>0</v>
      </c>
      <c r="V261" s="198">
        <f t="shared" si="184"/>
        <v>0</v>
      </c>
      <c r="W261" s="198">
        <f t="shared" si="184"/>
        <v>0</v>
      </c>
      <c r="X261" s="198">
        <f t="shared" si="184"/>
        <v>0</v>
      </c>
      <c r="Y261" s="198">
        <f t="shared" si="184"/>
        <v>0</v>
      </c>
      <c r="Z261" s="198">
        <f t="shared" si="184"/>
        <v>0</v>
      </c>
      <c r="AA261" s="198">
        <f t="shared" si="184"/>
        <v>0</v>
      </c>
      <c r="AB261" s="198">
        <f t="shared" si="184"/>
        <v>0</v>
      </c>
      <c r="AC261" s="198">
        <f t="shared" si="184"/>
        <v>0</v>
      </c>
      <c r="AD261" s="198">
        <f t="shared" si="184"/>
        <v>0</v>
      </c>
      <c r="AE261" s="198">
        <f t="shared" si="184"/>
        <v>0</v>
      </c>
      <c r="AF261" s="198">
        <f t="shared" si="184"/>
        <v>0</v>
      </c>
      <c r="AG261" s="198">
        <f t="shared" si="184"/>
        <v>0</v>
      </c>
      <c r="AH261" s="198">
        <f t="shared" si="184"/>
        <v>0</v>
      </c>
      <c r="AI261" s="198">
        <f t="shared" si="184"/>
        <v>0</v>
      </c>
      <c r="AJ261" s="198">
        <f t="shared" si="184"/>
        <v>0</v>
      </c>
      <c r="AK261" s="198">
        <f t="shared" si="184"/>
        <v>0</v>
      </c>
      <c r="AL261" s="198">
        <f t="shared" si="184"/>
        <v>0</v>
      </c>
      <c r="AM261" s="198">
        <f t="shared" si="184"/>
        <v>0</v>
      </c>
    </row>
    <row r="262" spans="1:39" outlineLevel="1">
      <c r="A262" s="100"/>
      <c r="B262" s="100"/>
      <c r="C262" s="100"/>
      <c r="D262" s="179"/>
      <c r="E262" s="165"/>
      <c r="F262" s="165"/>
      <c r="G262" s="165"/>
      <c r="H262" s="121"/>
      <c r="I262" s="165"/>
      <c r="J262" s="165"/>
      <c r="K262" s="164"/>
      <c r="L262" s="164"/>
      <c r="M262" s="227"/>
      <c r="N262" s="197"/>
      <c r="O262" s="197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</row>
    <row r="263" spans="1:39" outlineLevel="1">
      <c r="A263" s="100"/>
      <c r="B263" s="100"/>
      <c r="C263" s="100"/>
      <c r="D263" s="179"/>
      <c r="E263" s="165"/>
      <c r="F263" s="165"/>
      <c r="G263" s="206" t="str">
        <f>G648</f>
        <v>Infrastructure</v>
      </c>
      <c r="H263" s="121"/>
      <c r="I263" s="165"/>
      <c r="J263" s="165"/>
      <c r="K263" s="207"/>
      <c r="L263" s="164"/>
      <c r="M263" s="227"/>
      <c r="N263" s="197"/>
      <c r="O263" s="197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</row>
    <row r="264" spans="1:39" outlineLevel="1">
      <c r="A264" s="100"/>
      <c r="B264" s="100"/>
      <c r="C264" s="100"/>
      <c r="D264" s="179"/>
      <c r="E264" s="165"/>
      <c r="F264" s="165"/>
      <c r="G264" s="205"/>
      <c r="H264" s="121"/>
      <c r="I264" s="165"/>
      <c r="J264" s="165"/>
      <c r="K264" s="207"/>
      <c r="L264" s="164"/>
      <c r="M264" s="227"/>
      <c r="N264" s="197"/>
      <c r="O264" s="197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</row>
    <row r="265" spans="1:39" outlineLevel="1">
      <c r="A265" s="100"/>
      <c r="B265" s="100"/>
      <c r="C265" s="100"/>
      <c r="D265" s="179" t="str">
        <f t="shared" ref="D265:D270" si="185">$G$554</f>
        <v>Infrastructure</v>
      </c>
      <c r="E265" s="165" t="str">
        <f>H592</f>
        <v>Terminal International</v>
      </c>
      <c r="F265" s="165"/>
      <c r="G265" s="165" t="s">
        <v>80</v>
      </c>
      <c r="H265" s="121"/>
      <c r="I265" s="165"/>
      <c r="J265" s="165"/>
      <c r="K265" s="164"/>
      <c r="L265" s="164"/>
      <c r="M265" s="227"/>
      <c r="N265" s="376"/>
      <c r="O265" s="197">
        <f t="shared" ref="O265:X265" si="186">N270</f>
        <v>42831.267094524832</v>
      </c>
      <c r="P265" s="164">
        <f t="shared" si="186"/>
        <v>38548.140385072351</v>
      </c>
      <c r="Q265" s="164">
        <f t="shared" si="186"/>
        <v>34265.013675619863</v>
      </c>
      <c r="R265" s="164">
        <f t="shared" si="186"/>
        <v>29981.886966167382</v>
      </c>
      <c r="S265" s="164">
        <f t="shared" si="186"/>
        <v>25698.760256714901</v>
      </c>
      <c r="T265" s="164">
        <f t="shared" si="186"/>
        <v>21415.63354726242</v>
      </c>
      <c r="U265" s="164">
        <f t="shared" si="186"/>
        <v>17132.506837809939</v>
      </c>
      <c r="V265" s="164">
        <f t="shared" si="186"/>
        <v>12849.380128357458</v>
      </c>
      <c r="W265" s="164">
        <f t="shared" si="186"/>
        <v>8566.2534189049766</v>
      </c>
      <c r="X265" s="164">
        <f t="shared" si="186"/>
        <v>4283.1267094524956</v>
      </c>
      <c r="Y265" s="164">
        <f t="shared" ref="Y265:AM265" si="187">X270</f>
        <v>0</v>
      </c>
      <c r="Z265" s="164">
        <f t="shared" si="187"/>
        <v>0</v>
      </c>
      <c r="AA265" s="164">
        <f t="shared" si="187"/>
        <v>0</v>
      </c>
      <c r="AB265" s="164">
        <f t="shared" si="187"/>
        <v>0</v>
      </c>
      <c r="AC265" s="164">
        <f t="shared" si="187"/>
        <v>0</v>
      </c>
      <c r="AD265" s="164">
        <f t="shared" si="187"/>
        <v>0</v>
      </c>
      <c r="AE265" s="164">
        <f t="shared" si="187"/>
        <v>0</v>
      </c>
      <c r="AF265" s="164">
        <f t="shared" si="187"/>
        <v>0</v>
      </c>
      <c r="AG265" s="164">
        <f t="shared" si="187"/>
        <v>0</v>
      </c>
      <c r="AH265" s="164">
        <f t="shared" si="187"/>
        <v>0</v>
      </c>
      <c r="AI265" s="164">
        <f t="shared" si="187"/>
        <v>0</v>
      </c>
      <c r="AJ265" s="164">
        <f t="shared" si="187"/>
        <v>0</v>
      </c>
      <c r="AK265" s="164">
        <f t="shared" si="187"/>
        <v>0</v>
      </c>
      <c r="AL265" s="164">
        <f t="shared" si="187"/>
        <v>0</v>
      </c>
      <c r="AM265" s="164">
        <f t="shared" si="187"/>
        <v>0</v>
      </c>
    </row>
    <row r="266" spans="1:39" outlineLevel="1">
      <c r="A266" s="100"/>
      <c r="B266" s="100"/>
      <c r="C266" s="100"/>
      <c r="D266" s="179" t="str">
        <f t="shared" si="185"/>
        <v>Infrastructure</v>
      </c>
      <c r="E266" s="165" t="str">
        <f>H592</f>
        <v>Terminal International</v>
      </c>
      <c r="F266" s="165"/>
      <c r="G266" s="165" t="s">
        <v>60</v>
      </c>
      <c r="H266" s="121"/>
      <c r="I266" s="165"/>
      <c r="J266" s="165"/>
      <c r="K266" s="303"/>
      <c r="L266" s="303"/>
      <c r="M266" s="304"/>
      <c r="N266" s="376"/>
      <c r="O266" s="197">
        <f>N270</f>
        <v>42831.267094524832</v>
      </c>
      <c r="P266" s="164">
        <f t="shared" ref="P266:X266" si="188">O266</f>
        <v>42831.267094524832</v>
      </c>
      <c r="Q266" s="164">
        <f t="shared" si="188"/>
        <v>42831.267094524832</v>
      </c>
      <c r="R266" s="164">
        <f t="shared" si="188"/>
        <v>42831.267094524832</v>
      </c>
      <c r="S266" s="164">
        <f t="shared" si="188"/>
        <v>42831.267094524832</v>
      </c>
      <c r="T266" s="164">
        <f t="shared" si="188"/>
        <v>42831.267094524832</v>
      </c>
      <c r="U266" s="164">
        <f t="shared" si="188"/>
        <v>42831.267094524832</v>
      </c>
      <c r="V266" s="164">
        <f t="shared" si="188"/>
        <v>42831.267094524832</v>
      </c>
      <c r="W266" s="164">
        <f t="shared" si="188"/>
        <v>42831.267094524832</v>
      </c>
      <c r="X266" s="164">
        <f t="shared" si="188"/>
        <v>42831.267094524832</v>
      </c>
      <c r="Y266" s="164">
        <f t="shared" ref="Y266:AM266" si="189">X266</f>
        <v>42831.267094524832</v>
      </c>
      <c r="Z266" s="164">
        <f t="shared" si="189"/>
        <v>42831.267094524832</v>
      </c>
      <c r="AA266" s="164">
        <f t="shared" si="189"/>
        <v>42831.267094524832</v>
      </c>
      <c r="AB266" s="164">
        <f t="shared" si="189"/>
        <v>42831.267094524832</v>
      </c>
      <c r="AC266" s="164">
        <f t="shared" si="189"/>
        <v>42831.267094524832</v>
      </c>
      <c r="AD266" s="164">
        <f t="shared" si="189"/>
        <v>42831.267094524832</v>
      </c>
      <c r="AE266" s="164">
        <f t="shared" si="189"/>
        <v>42831.267094524832</v>
      </c>
      <c r="AF266" s="164">
        <f t="shared" si="189"/>
        <v>42831.267094524832</v>
      </c>
      <c r="AG266" s="164">
        <f t="shared" si="189"/>
        <v>42831.267094524832</v>
      </c>
      <c r="AH266" s="164">
        <f t="shared" si="189"/>
        <v>42831.267094524832</v>
      </c>
      <c r="AI266" s="164">
        <f t="shared" si="189"/>
        <v>42831.267094524832</v>
      </c>
      <c r="AJ266" s="164">
        <f t="shared" si="189"/>
        <v>42831.267094524832</v>
      </c>
      <c r="AK266" s="164">
        <f t="shared" si="189"/>
        <v>42831.267094524832</v>
      </c>
      <c r="AL266" s="164">
        <f t="shared" si="189"/>
        <v>42831.267094524832</v>
      </c>
      <c r="AM266" s="164">
        <f t="shared" si="189"/>
        <v>42831.267094524832</v>
      </c>
    </row>
    <row r="267" spans="1:39" outlineLevel="1">
      <c r="A267" s="100"/>
      <c r="B267" s="100"/>
      <c r="C267" s="100"/>
      <c r="D267" s="179" t="str">
        <f t="shared" si="185"/>
        <v>Infrastructure</v>
      </c>
      <c r="E267" s="165" t="str">
        <f>H592</f>
        <v>Terminal International</v>
      </c>
      <c r="F267" s="165"/>
      <c r="G267" s="165" t="s">
        <v>79</v>
      </c>
      <c r="H267" s="121"/>
      <c r="I267" s="165"/>
      <c r="J267" s="165"/>
      <c r="K267" s="303"/>
      <c r="L267" s="303"/>
      <c r="M267" s="202"/>
      <c r="N267" s="376"/>
      <c r="O267" s="197">
        <f t="shared" ref="O267:X267" si="190">N269</f>
        <v>0</v>
      </c>
      <c r="P267" s="164">
        <f t="shared" si="190"/>
        <v>4283.1267094524828</v>
      </c>
      <c r="Q267" s="164">
        <f t="shared" si="190"/>
        <v>8566.2534189049657</v>
      </c>
      <c r="R267" s="164">
        <f t="shared" si="190"/>
        <v>12849.380128357448</v>
      </c>
      <c r="S267" s="164">
        <f t="shared" si="190"/>
        <v>17132.506837809931</v>
      </c>
      <c r="T267" s="164">
        <f t="shared" si="190"/>
        <v>21415.633547262412</v>
      </c>
      <c r="U267" s="164">
        <f t="shared" si="190"/>
        <v>25698.760256714893</v>
      </c>
      <c r="V267" s="164">
        <f t="shared" si="190"/>
        <v>29981.886966167374</v>
      </c>
      <c r="W267" s="164">
        <f t="shared" si="190"/>
        <v>34265.013675619855</v>
      </c>
      <c r="X267" s="164">
        <f t="shared" si="190"/>
        <v>38548.140385072336</v>
      </c>
      <c r="Y267" s="164">
        <f t="shared" ref="Y267:AM267" si="191">X269</f>
        <v>42831.267094524817</v>
      </c>
      <c r="Z267" s="164">
        <f t="shared" si="191"/>
        <v>42831.267094524817</v>
      </c>
      <c r="AA267" s="164">
        <f t="shared" si="191"/>
        <v>42831.267094524817</v>
      </c>
      <c r="AB267" s="164">
        <f t="shared" si="191"/>
        <v>42831.267094524817</v>
      </c>
      <c r="AC267" s="164">
        <f t="shared" si="191"/>
        <v>42831.267094524817</v>
      </c>
      <c r="AD267" s="164">
        <f t="shared" si="191"/>
        <v>42831.267094524817</v>
      </c>
      <c r="AE267" s="164">
        <f t="shared" si="191"/>
        <v>42831.267094524817</v>
      </c>
      <c r="AF267" s="164">
        <f t="shared" si="191"/>
        <v>42831.267094524817</v>
      </c>
      <c r="AG267" s="164">
        <f t="shared" si="191"/>
        <v>42831.267094524817</v>
      </c>
      <c r="AH267" s="164">
        <f t="shared" si="191"/>
        <v>42831.267094524817</v>
      </c>
      <c r="AI267" s="164">
        <f t="shared" si="191"/>
        <v>42831.267094524817</v>
      </c>
      <c r="AJ267" s="164">
        <f t="shared" si="191"/>
        <v>42831.267094524817</v>
      </c>
      <c r="AK267" s="164">
        <f t="shared" si="191"/>
        <v>42831.267094524817</v>
      </c>
      <c r="AL267" s="164">
        <f t="shared" si="191"/>
        <v>42831.267094524817</v>
      </c>
      <c r="AM267" s="164">
        <f t="shared" si="191"/>
        <v>42831.267094524817</v>
      </c>
    </row>
    <row r="268" spans="1:39" outlineLevel="1">
      <c r="A268" s="100"/>
      <c r="B268" s="100"/>
      <c r="C268" s="100"/>
      <c r="D268" s="179" t="str">
        <f t="shared" si="185"/>
        <v>Infrastructure</v>
      </c>
      <c r="E268" s="165" t="str">
        <f>H592</f>
        <v>Terminal International</v>
      </c>
      <c r="F268" s="165"/>
      <c r="G268" s="165" t="s">
        <v>78</v>
      </c>
      <c r="H268" s="121"/>
      <c r="I268" s="165"/>
      <c r="J268" s="165"/>
      <c r="K268" s="303"/>
      <c r="L268" s="303"/>
      <c r="M268" s="202"/>
      <c r="N268" s="376"/>
      <c r="O268" s="197">
        <f>IFERROR(MIN(O265,O266/'Asset base'!O$103),0)</f>
        <v>4283.1267094524828</v>
      </c>
      <c r="P268" s="164">
        <f>IFERROR(MIN(P265,P266/'Asset base'!P$103),0)</f>
        <v>4283.1267094524828</v>
      </c>
      <c r="Q268" s="164">
        <f>IFERROR(MIN(Q265,Q266/'Asset base'!Q$103),0)</f>
        <v>4283.1267094524828</v>
      </c>
      <c r="R268" s="164">
        <f>IFERROR(MIN(R265,R266/'Asset base'!R$103),0)</f>
        <v>4283.1267094524828</v>
      </c>
      <c r="S268" s="164">
        <f>IFERROR(MIN(S265,S266/'Asset base'!S$103),0)</f>
        <v>4283.1267094524828</v>
      </c>
      <c r="T268" s="164">
        <f>IFERROR(MIN(T265,T266/'Asset base'!T$103),0)</f>
        <v>4283.1267094524828</v>
      </c>
      <c r="U268" s="164">
        <f>IFERROR(MIN(U265,U266/'Asset base'!U$103),0)</f>
        <v>4283.1267094524828</v>
      </c>
      <c r="V268" s="164">
        <f>IFERROR(MIN(V265,V266/'Asset base'!V$103),0)</f>
        <v>4283.1267094524828</v>
      </c>
      <c r="W268" s="164">
        <f>IFERROR(MIN(W265,W266/'Asset base'!W$103),0)</f>
        <v>4283.1267094524828</v>
      </c>
      <c r="X268" s="164">
        <f>IFERROR(MIN(X265,X266/'Asset base'!X$103),0)</f>
        <v>4283.1267094524828</v>
      </c>
      <c r="Y268" s="164">
        <f>IFERROR(MIN(Y265,Y266/'Asset base'!Y$103),0)</f>
        <v>0</v>
      </c>
      <c r="Z268" s="164">
        <f>IFERROR(MIN(Z265,Z266/'Asset base'!Z$103),0)</f>
        <v>0</v>
      </c>
      <c r="AA268" s="164">
        <f>IFERROR(MIN(AA265,AA266/'Asset base'!AA$103),0)</f>
        <v>0</v>
      </c>
      <c r="AB268" s="164">
        <f>IFERROR(MIN(AB265,AB266/'Asset base'!AB$103),0)</f>
        <v>0</v>
      </c>
      <c r="AC268" s="164">
        <f>IFERROR(MIN(AC265,AC266/'Asset base'!AC$103),0)</f>
        <v>0</v>
      </c>
      <c r="AD268" s="164">
        <f>IFERROR(MIN(AD265,AD266/'Asset base'!AD$103),0)</f>
        <v>0</v>
      </c>
      <c r="AE268" s="164">
        <f>IFERROR(MIN(AE265,AE266/'Asset base'!AE$103),0)</f>
        <v>0</v>
      </c>
      <c r="AF268" s="164">
        <f>IFERROR(MIN(AF265,AF266/'Asset base'!AF$103),0)</f>
        <v>0</v>
      </c>
      <c r="AG268" s="164">
        <f>IFERROR(MIN(AG265,AG266/'Asset base'!AG$103),0)</f>
        <v>0</v>
      </c>
      <c r="AH268" s="164">
        <f>IFERROR(MIN(AH265,AH266/'Asset base'!AH$103),0)</f>
        <v>0</v>
      </c>
      <c r="AI268" s="164">
        <f>IFERROR(MIN(AI265,AI266/'Asset base'!AI$103),0)</f>
        <v>0</v>
      </c>
      <c r="AJ268" s="164">
        <f>IFERROR(MIN(AJ265,AJ266/'Asset base'!AJ$103),0)</f>
        <v>0</v>
      </c>
      <c r="AK268" s="164">
        <f>IFERROR(MIN(AK265,AK266/'Asset base'!AK$103),0)</f>
        <v>0</v>
      </c>
      <c r="AL268" s="164">
        <f>IFERROR(MIN(AL265,AL266/'Asset base'!AL$103),0)</f>
        <v>0</v>
      </c>
      <c r="AM268" s="164">
        <f>IFERROR(MIN(AM265,AM266/'Asset base'!AM$103),0)</f>
        <v>0</v>
      </c>
    </row>
    <row r="269" spans="1:39" outlineLevel="1">
      <c r="A269" s="100"/>
      <c r="B269" s="100"/>
      <c r="C269" s="100"/>
      <c r="D269" s="179" t="str">
        <f t="shared" si="185"/>
        <v>Infrastructure</v>
      </c>
      <c r="E269" s="165" t="str">
        <f>H592</f>
        <v>Terminal International</v>
      </c>
      <c r="F269" s="165"/>
      <c r="G269" s="165" t="s">
        <v>77</v>
      </c>
      <c r="H269" s="121"/>
      <c r="I269" s="165"/>
      <c r="J269" s="165"/>
      <c r="K269" s="305"/>
      <c r="L269" s="305"/>
      <c r="M269" s="306"/>
      <c r="N269" s="376"/>
      <c r="O269" s="197">
        <f t="shared" ref="O269:X269" si="192">SUM(O267:O268)</f>
        <v>4283.1267094524828</v>
      </c>
      <c r="P269" s="164">
        <f t="shared" si="192"/>
        <v>8566.2534189049657</v>
      </c>
      <c r="Q269" s="164">
        <f t="shared" si="192"/>
        <v>12849.380128357448</v>
      </c>
      <c r="R269" s="164">
        <f t="shared" si="192"/>
        <v>17132.506837809931</v>
      </c>
      <c r="S269" s="164">
        <f t="shared" si="192"/>
        <v>21415.633547262412</v>
      </c>
      <c r="T269" s="164">
        <f t="shared" si="192"/>
        <v>25698.760256714893</v>
      </c>
      <c r="U269" s="164">
        <f t="shared" si="192"/>
        <v>29981.886966167374</v>
      </c>
      <c r="V269" s="164">
        <f t="shared" si="192"/>
        <v>34265.013675619855</v>
      </c>
      <c r="W269" s="164">
        <f t="shared" si="192"/>
        <v>38548.140385072336</v>
      </c>
      <c r="X269" s="164">
        <f t="shared" si="192"/>
        <v>42831.267094524817</v>
      </c>
      <c r="Y269" s="164">
        <f>SUM(Y267:Y268)</f>
        <v>42831.267094524817</v>
      </c>
      <c r="Z269" s="164">
        <f t="shared" ref="Z269:AM269" si="193">SUM(Z267:Z268)</f>
        <v>42831.267094524817</v>
      </c>
      <c r="AA269" s="164">
        <f t="shared" si="193"/>
        <v>42831.267094524817</v>
      </c>
      <c r="AB269" s="164">
        <f t="shared" si="193"/>
        <v>42831.267094524817</v>
      </c>
      <c r="AC269" s="164">
        <f t="shared" si="193"/>
        <v>42831.267094524817</v>
      </c>
      <c r="AD269" s="164">
        <f t="shared" si="193"/>
        <v>42831.267094524817</v>
      </c>
      <c r="AE269" s="164">
        <f t="shared" si="193"/>
        <v>42831.267094524817</v>
      </c>
      <c r="AF269" s="164">
        <f t="shared" si="193"/>
        <v>42831.267094524817</v>
      </c>
      <c r="AG269" s="164">
        <f t="shared" si="193"/>
        <v>42831.267094524817</v>
      </c>
      <c r="AH269" s="164">
        <f t="shared" si="193"/>
        <v>42831.267094524817</v>
      </c>
      <c r="AI269" s="164">
        <f t="shared" si="193"/>
        <v>42831.267094524817</v>
      </c>
      <c r="AJ269" s="164">
        <f t="shared" si="193"/>
        <v>42831.267094524817</v>
      </c>
      <c r="AK269" s="164">
        <f t="shared" si="193"/>
        <v>42831.267094524817</v>
      </c>
      <c r="AL269" s="164">
        <f t="shared" si="193"/>
        <v>42831.267094524817</v>
      </c>
      <c r="AM269" s="164">
        <f t="shared" si="193"/>
        <v>42831.267094524817</v>
      </c>
    </row>
    <row r="270" spans="1:39" outlineLevel="1">
      <c r="A270" s="100"/>
      <c r="B270" s="100"/>
      <c r="C270" s="100"/>
      <c r="D270" s="179" t="str">
        <f t="shared" si="185"/>
        <v>Infrastructure</v>
      </c>
      <c r="E270" s="165" t="str">
        <f>H592</f>
        <v>Terminal International</v>
      </c>
      <c r="F270" s="165"/>
      <c r="G270" s="200" t="s">
        <v>76</v>
      </c>
      <c r="H270" s="201"/>
      <c r="I270" s="200"/>
      <c r="J270" s="200"/>
      <c r="K270" s="198">
        <f t="shared" ref="K270:S270" si="194">K266-K269</f>
        <v>0</v>
      </c>
      <c r="L270" s="198">
        <f t="shared" si="194"/>
        <v>0</v>
      </c>
      <c r="M270" s="227">
        <f>N265</f>
        <v>0</v>
      </c>
      <c r="N270" s="541">
        <f>'[7]2008-2012 Asset Mov''t Revised'!$AS$81</f>
        <v>42831.267094524832</v>
      </c>
      <c r="O270" s="199">
        <f t="shared" si="194"/>
        <v>38548.140385072351</v>
      </c>
      <c r="P270" s="198">
        <f t="shared" si="194"/>
        <v>34265.013675619863</v>
      </c>
      <c r="Q270" s="198">
        <f t="shared" si="194"/>
        <v>29981.886966167382</v>
      </c>
      <c r="R270" s="198">
        <f t="shared" si="194"/>
        <v>25698.760256714901</v>
      </c>
      <c r="S270" s="198">
        <f t="shared" si="194"/>
        <v>21415.63354726242</v>
      </c>
      <c r="T270" s="198">
        <f t="shared" ref="T270:AM270" si="195">T266-T269</f>
        <v>17132.506837809939</v>
      </c>
      <c r="U270" s="198">
        <f t="shared" si="195"/>
        <v>12849.380128357458</v>
      </c>
      <c r="V270" s="198">
        <f t="shared" si="195"/>
        <v>8566.2534189049766</v>
      </c>
      <c r="W270" s="198">
        <f t="shared" si="195"/>
        <v>4283.1267094524956</v>
      </c>
      <c r="X270" s="198">
        <f t="shared" si="195"/>
        <v>0</v>
      </c>
      <c r="Y270" s="198">
        <f t="shared" si="195"/>
        <v>0</v>
      </c>
      <c r="Z270" s="198">
        <f t="shared" si="195"/>
        <v>0</v>
      </c>
      <c r="AA270" s="198">
        <f t="shared" si="195"/>
        <v>0</v>
      </c>
      <c r="AB270" s="198">
        <f t="shared" si="195"/>
        <v>0</v>
      </c>
      <c r="AC270" s="198">
        <f t="shared" si="195"/>
        <v>0</v>
      </c>
      <c r="AD270" s="198">
        <f t="shared" si="195"/>
        <v>0</v>
      </c>
      <c r="AE270" s="198">
        <f t="shared" si="195"/>
        <v>0</v>
      </c>
      <c r="AF270" s="198">
        <f t="shared" si="195"/>
        <v>0</v>
      </c>
      <c r="AG270" s="198">
        <f t="shared" si="195"/>
        <v>0</v>
      </c>
      <c r="AH270" s="198">
        <f t="shared" si="195"/>
        <v>0</v>
      </c>
      <c r="AI270" s="198">
        <f t="shared" si="195"/>
        <v>0</v>
      </c>
      <c r="AJ270" s="198">
        <f t="shared" si="195"/>
        <v>0</v>
      </c>
      <c r="AK270" s="198">
        <f t="shared" si="195"/>
        <v>0</v>
      </c>
      <c r="AL270" s="198">
        <f t="shared" si="195"/>
        <v>0</v>
      </c>
      <c r="AM270" s="198">
        <f t="shared" si="195"/>
        <v>0</v>
      </c>
    </row>
    <row r="271" spans="1:39" outlineLevel="1">
      <c r="A271" s="100"/>
      <c r="B271" s="100"/>
      <c r="C271" s="100"/>
      <c r="D271" s="179"/>
      <c r="E271" s="165"/>
      <c r="F271" s="165"/>
      <c r="G271" s="165"/>
      <c r="H271" s="121"/>
      <c r="I271" s="165"/>
      <c r="J271" s="165"/>
      <c r="K271" s="164"/>
      <c r="L271" s="164"/>
      <c r="M271" s="227"/>
      <c r="N271" s="197"/>
      <c r="O271" s="197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4"/>
    </row>
    <row r="272" spans="1:39" outlineLevel="1">
      <c r="A272" s="100"/>
      <c r="B272" s="100"/>
      <c r="C272" s="100"/>
      <c r="D272" s="179"/>
      <c r="E272" s="165"/>
      <c r="F272" s="165"/>
      <c r="G272" s="206" t="str">
        <f>G657</f>
        <v>Terminal facilities</v>
      </c>
      <c r="H272" s="121"/>
      <c r="I272" s="165"/>
      <c r="J272" s="165"/>
      <c r="K272" s="207"/>
      <c r="L272" s="164"/>
      <c r="M272" s="227"/>
      <c r="N272" s="197"/>
      <c r="O272" s="197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  <c r="AF272" s="165"/>
      <c r="AG272" s="165"/>
      <c r="AH272" s="165"/>
      <c r="AI272" s="165"/>
      <c r="AJ272" s="165"/>
      <c r="AK272" s="165"/>
      <c r="AL272" s="165"/>
      <c r="AM272" s="165"/>
    </row>
    <row r="273" spans="1:39" outlineLevel="1">
      <c r="A273" s="100"/>
      <c r="B273" s="100"/>
      <c r="C273" s="100"/>
      <c r="D273" s="179"/>
      <c r="E273" s="165"/>
      <c r="F273" s="165"/>
      <c r="G273" s="205"/>
      <c r="H273" s="121"/>
      <c r="I273" s="165"/>
      <c r="J273" s="165"/>
      <c r="K273" s="207"/>
      <c r="L273" s="164"/>
      <c r="M273" s="227"/>
      <c r="N273" s="197"/>
      <c r="O273" s="197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  <c r="AG273" s="165"/>
      <c r="AH273" s="165"/>
      <c r="AI273" s="165"/>
      <c r="AJ273" s="165"/>
      <c r="AK273" s="165"/>
      <c r="AL273" s="165"/>
      <c r="AM273" s="165"/>
    </row>
    <row r="274" spans="1:39" outlineLevel="1">
      <c r="A274" s="100"/>
      <c r="B274" s="100"/>
      <c r="C274" s="100"/>
      <c r="D274" s="179" t="str">
        <f t="shared" ref="D274:D279" si="196">$G$563</f>
        <v>Terminal facilities</v>
      </c>
      <c r="E274" s="165" t="str">
        <f>H592</f>
        <v>Terminal International</v>
      </c>
      <c r="F274" s="165"/>
      <c r="G274" s="165" t="s">
        <v>80</v>
      </c>
      <c r="H274" s="121"/>
      <c r="I274" s="165"/>
      <c r="J274" s="165"/>
      <c r="K274" s="164"/>
      <c r="L274" s="164"/>
      <c r="M274" s="227"/>
      <c r="N274" s="376"/>
      <c r="O274" s="197">
        <f t="shared" ref="O274:X274" si="197">N279</f>
        <v>116169348.00098437</v>
      </c>
      <c r="P274" s="662">
        <f>O279-4500000</f>
        <v>107366779.55650347</v>
      </c>
      <c r="Q274" s="164">
        <f t="shared" si="197"/>
        <v>103230877.77868924</v>
      </c>
      <c r="R274" s="662">
        <f>Q279+1416000</f>
        <v>100510976.000875</v>
      </c>
      <c r="S274" s="164">
        <f t="shared" si="197"/>
        <v>96322629.778616309</v>
      </c>
      <c r="T274" s="164">
        <f t="shared" si="197"/>
        <v>92134283.556357637</v>
      </c>
      <c r="U274" s="164">
        <f t="shared" si="197"/>
        <v>87945937.334098965</v>
      </c>
      <c r="V274" s="164">
        <f t="shared" si="197"/>
        <v>83757591.111840278</v>
      </c>
      <c r="W274" s="164">
        <f t="shared" si="197"/>
        <v>79569244.889581591</v>
      </c>
      <c r="X274" s="164">
        <f t="shared" si="197"/>
        <v>75380898.667322919</v>
      </c>
      <c r="Y274" s="164">
        <f t="shared" ref="Y274:AM274" si="198">X279</f>
        <v>71192552.445064247</v>
      </c>
      <c r="Z274" s="164">
        <f t="shared" si="198"/>
        <v>67004206.22280556</v>
      </c>
      <c r="AA274" s="164">
        <f t="shared" si="198"/>
        <v>62815860.00054688</v>
      </c>
      <c r="AB274" s="164">
        <f t="shared" si="198"/>
        <v>58627513.7782882</v>
      </c>
      <c r="AC274" s="164">
        <f t="shared" si="198"/>
        <v>54439167.556029521</v>
      </c>
      <c r="AD274" s="164">
        <f t="shared" si="198"/>
        <v>50250821.333770841</v>
      </c>
      <c r="AE274" s="164">
        <f t="shared" si="198"/>
        <v>46062475.111512162</v>
      </c>
      <c r="AF274" s="164">
        <f t="shared" si="198"/>
        <v>41874128.889253482</v>
      </c>
      <c r="AG274" s="164">
        <f t="shared" si="198"/>
        <v>37685782.666994795</v>
      </c>
      <c r="AH274" s="164">
        <f t="shared" si="198"/>
        <v>33497436.444736108</v>
      </c>
      <c r="AI274" s="164">
        <f t="shared" si="198"/>
        <v>29309090.222477421</v>
      </c>
      <c r="AJ274" s="164">
        <f t="shared" si="198"/>
        <v>25120744.000218734</v>
      </c>
      <c r="AK274" s="164">
        <f t="shared" si="198"/>
        <v>20932397.777960047</v>
      </c>
      <c r="AL274" s="164">
        <f t="shared" si="198"/>
        <v>16744051.55570136</v>
      </c>
      <c r="AM274" s="164">
        <f t="shared" si="198"/>
        <v>12555705.333442673</v>
      </c>
    </row>
    <row r="275" spans="1:39" outlineLevel="1">
      <c r="A275" s="100"/>
      <c r="B275" s="100"/>
      <c r="C275" s="100"/>
      <c r="D275" s="179" t="str">
        <f t="shared" si="196"/>
        <v>Terminal facilities</v>
      </c>
      <c r="E275" s="165" t="str">
        <f>H592</f>
        <v>Terminal International</v>
      </c>
      <c r="F275" s="165"/>
      <c r="G275" s="165" t="s">
        <v>60</v>
      </c>
      <c r="H275" s="121"/>
      <c r="I275" s="165"/>
      <c r="J275" s="165"/>
      <c r="K275" s="303"/>
      <c r="L275" s="303"/>
      <c r="M275" s="304"/>
      <c r="N275" s="376"/>
      <c r="O275" s="197">
        <f>N279</f>
        <v>116169348.00098437</v>
      </c>
      <c r="P275" s="662">
        <f>O275-4500000</f>
        <v>111669348.00098437</v>
      </c>
      <c r="Q275" s="164">
        <f t="shared" ref="Q275:X275" si="199">P275</f>
        <v>111669348.00098437</v>
      </c>
      <c r="R275" s="662">
        <f>Q275+1416000</f>
        <v>113085348.00098437</v>
      </c>
      <c r="S275" s="164">
        <f t="shared" si="199"/>
        <v>113085348.00098437</v>
      </c>
      <c r="T275" s="164">
        <f t="shared" si="199"/>
        <v>113085348.00098437</v>
      </c>
      <c r="U275" s="164">
        <f t="shared" si="199"/>
        <v>113085348.00098437</v>
      </c>
      <c r="V275" s="164">
        <f t="shared" si="199"/>
        <v>113085348.00098437</v>
      </c>
      <c r="W275" s="164">
        <f t="shared" si="199"/>
        <v>113085348.00098437</v>
      </c>
      <c r="X275" s="164">
        <f t="shared" si="199"/>
        <v>113085348.00098437</v>
      </c>
      <c r="Y275" s="164">
        <f t="shared" ref="Y275:AM275" si="200">X275</f>
        <v>113085348.00098437</v>
      </c>
      <c r="Z275" s="164">
        <f t="shared" si="200"/>
        <v>113085348.00098437</v>
      </c>
      <c r="AA275" s="164">
        <f t="shared" si="200"/>
        <v>113085348.00098437</v>
      </c>
      <c r="AB275" s="164">
        <f t="shared" si="200"/>
        <v>113085348.00098437</v>
      </c>
      <c r="AC275" s="164">
        <f t="shared" si="200"/>
        <v>113085348.00098437</v>
      </c>
      <c r="AD275" s="164">
        <f t="shared" si="200"/>
        <v>113085348.00098437</v>
      </c>
      <c r="AE275" s="164">
        <f t="shared" si="200"/>
        <v>113085348.00098437</v>
      </c>
      <c r="AF275" s="164">
        <f t="shared" si="200"/>
        <v>113085348.00098437</v>
      </c>
      <c r="AG275" s="164">
        <f t="shared" si="200"/>
        <v>113085348.00098437</v>
      </c>
      <c r="AH275" s="164">
        <f t="shared" si="200"/>
        <v>113085348.00098437</v>
      </c>
      <c r="AI275" s="164">
        <f t="shared" si="200"/>
        <v>113085348.00098437</v>
      </c>
      <c r="AJ275" s="164">
        <f t="shared" si="200"/>
        <v>113085348.00098437</v>
      </c>
      <c r="AK275" s="164">
        <f t="shared" si="200"/>
        <v>113085348.00098437</v>
      </c>
      <c r="AL275" s="164">
        <f t="shared" si="200"/>
        <v>113085348.00098437</v>
      </c>
      <c r="AM275" s="164">
        <f t="shared" si="200"/>
        <v>113085348.00098437</v>
      </c>
    </row>
    <row r="276" spans="1:39" outlineLevel="1">
      <c r="A276" s="100"/>
      <c r="B276" s="100"/>
      <c r="C276" s="100"/>
      <c r="D276" s="179" t="str">
        <f t="shared" si="196"/>
        <v>Terminal facilities</v>
      </c>
      <c r="E276" s="165" t="str">
        <f>H592</f>
        <v>Terminal International</v>
      </c>
      <c r="F276" s="165"/>
      <c r="G276" s="165" t="s">
        <v>79</v>
      </c>
      <c r="H276" s="121"/>
      <c r="I276" s="165"/>
      <c r="J276" s="165"/>
      <c r="K276" s="303"/>
      <c r="L276" s="303"/>
      <c r="M276" s="202"/>
      <c r="N276" s="376"/>
      <c r="O276" s="197">
        <f t="shared" ref="O276:X276" si="201">N278</f>
        <v>0</v>
      </c>
      <c r="P276" s="164">
        <f t="shared" si="201"/>
        <v>4302568.4444809025</v>
      </c>
      <c r="Q276" s="164">
        <f t="shared" si="201"/>
        <v>8438470.222295139</v>
      </c>
      <c r="R276" s="164">
        <f t="shared" si="201"/>
        <v>12574372.000109375</v>
      </c>
      <c r="S276" s="164">
        <f t="shared" si="201"/>
        <v>16762718.222368054</v>
      </c>
      <c r="T276" s="164">
        <f t="shared" si="201"/>
        <v>20951064.444626734</v>
      </c>
      <c r="U276" s="164">
        <f t="shared" si="201"/>
        <v>25139410.666885413</v>
      </c>
      <c r="V276" s="164">
        <f t="shared" si="201"/>
        <v>29327756.889144093</v>
      </c>
      <c r="W276" s="164">
        <f t="shared" si="201"/>
        <v>33516103.111402772</v>
      </c>
      <c r="X276" s="164">
        <f t="shared" si="201"/>
        <v>37704449.333661452</v>
      </c>
      <c r="Y276" s="164">
        <f t="shared" ref="Y276:AM276" si="202">X278</f>
        <v>41892795.555920132</v>
      </c>
      <c r="Z276" s="164">
        <f t="shared" si="202"/>
        <v>46081141.778178811</v>
      </c>
      <c r="AA276" s="164">
        <f t="shared" si="202"/>
        <v>50269488.000437491</v>
      </c>
      <c r="AB276" s="164">
        <f t="shared" si="202"/>
        <v>54457834.22269617</v>
      </c>
      <c r="AC276" s="164">
        <f t="shared" si="202"/>
        <v>58646180.44495485</v>
      </c>
      <c r="AD276" s="164">
        <f t="shared" si="202"/>
        <v>62834526.667213529</v>
      </c>
      <c r="AE276" s="164">
        <f t="shared" si="202"/>
        <v>67022872.889472209</v>
      </c>
      <c r="AF276" s="164">
        <f t="shared" si="202"/>
        <v>71211219.111730888</v>
      </c>
      <c r="AG276" s="164">
        <f t="shared" si="202"/>
        <v>75399565.333989576</v>
      </c>
      <c r="AH276" s="164">
        <f t="shared" si="202"/>
        <v>79587911.556248263</v>
      </c>
      <c r="AI276" s="164">
        <f t="shared" si="202"/>
        <v>83776257.77850695</v>
      </c>
      <c r="AJ276" s="164">
        <f t="shared" si="202"/>
        <v>87964604.000765637</v>
      </c>
      <c r="AK276" s="164">
        <f t="shared" si="202"/>
        <v>92152950.223024324</v>
      </c>
      <c r="AL276" s="164">
        <f t="shared" si="202"/>
        <v>96341296.445283011</v>
      </c>
      <c r="AM276" s="164">
        <f t="shared" si="202"/>
        <v>100529642.6675417</v>
      </c>
    </row>
    <row r="277" spans="1:39" outlineLevel="1">
      <c r="A277" s="100"/>
      <c r="B277" s="100"/>
      <c r="C277" s="100"/>
      <c r="D277" s="179" t="str">
        <f t="shared" si="196"/>
        <v>Terminal facilities</v>
      </c>
      <c r="E277" s="165" t="str">
        <f>H592</f>
        <v>Terminal International</v>
      </c>
      <c r="F277" s="165"/>
      <c r="G277" s="165" t="s">
        <v>78</v>
      </c>
      <c r="H277" s="121"/>
      <c r="I277" s="165"/>
      <c r="J277" s="165"/>
      <c r="K277" s="303"/>
      <c r="L277" s="303"/>
      <c r="M277" s="202"/>
      <c r="N277" s="376"/>
      <c r="O277" s="197">
        <f>IFERROR(MIN(O274,O275/'Asset base'!O$104),0)</f>
        <v>4302568.4444809025</v>
      </c>
      <c r="P277" s="197">
        <f>IFERROR(MIN(P274,P275/'Asset base'!P$104),0)</f>
        <v>4135901.777814236</v>
      </c>
      <c r="Q277" s="197">
        <f>IFERROR(MIN(Q274,Q275/'Asset base'!Q$104),0)</f>
        <v>4135901.777814236</v>
      </c>
      <c r="R277" s="197">
        <f>IFERROR(MIN(R274,R275/'Asset base'!R$104),0)</f>
        <v>4188346.2222586805</v>
      </c>
      <c r="S277" s="197">
        <f>IFERROR(MIN(S274,S275/'Asset base'!S$104),0)</f>
        <v>4188346.2222586805</v>
      </c>
      <c r="T277" s="197">
        <f>IFERROR(MIN(T274,T275/'Asset base'!T$104),0)</f>
        <v>4188346.2222586805</v>
      </c>
      <c r="U277" s="197">
        <f>IFERROR(MIN(U274,U275/'Asset base'!U$104),0)</f>
        <v>4188346.2222586805</v>
      </c>
      <c r="V277" s="197">
        <f>IFERROR(MIN(V274,V275/'Asset base'!V$104),0)</f>
        <v>4188346.2222586805</v>
      </c>
      <c r="W277" s="197">
        <f>IFERROR(MIN(W274,W275/'Asset base'!W$104),0)</f>
        <v>4188346.2222586805</v>
      </c>
      <c r="X277" s="197">
        <f>IFERROR(MIN(X274,X275/'Asset base'!X$104),0)</f>
        <v>4188346.2222586805</v>
      </c>
      <c r="Y277" s="197">
        <f>IFERROR(MIN(Y274,Y275/'Asset base'!Y$104),0)</f>
        <v>4188346.2222586805</v>
      </c>
      <c r="Z277" s="197">
        <f>IFERROR(MIN(Z274,Z275/'Asset base'!Z$104),0)</f>
        <v>4188346.2222586805</v>
      </c>
      <c r="AA277" s="197">
        <f>IFERROR(MIN(AA274,AA275/'Asset base'!AA$104),0)</f>
        <v>4188346.2222586805</v>
      </c>
      <c r="AB277" s="197">
        <f>IFERROR(MIN(AB274,AB275/'Asset base'!AB$104),0)</f>
        <v>4188346.2222586805</v>
      </c>
      <c r="AC277" s="197">
        <f>IFERROR(MIN(AC274,AC275/'Asset base'!AC$104),0)</f>
        <v>4188346.2222586805</v>
      </c>
      <c r="AD277" s="197">
        <f>IFERROR(MIN(AD274,AD275/'Asset base'!AD$104),0)</f>
        <v>4188346.2222586805</v>
      </c>
      <c r="AE277" s="197">
        <f>IFERROR(MIN(AE274,AE275/'Asset base'!AE$104),0)</f>
        <v>4188346.2222586805</v>
      </c>
      <c r="AF277" s="197">
        <f>IFERROR(MIN(AF274,AF275/'Asset base'!AF$104),0)</f>
        <v>4188346.2222586805</v>
      </c>
      <c r="AG277" s="197">
        <f>IFERROR(MIN(AG274,AG275/'Asset base'!AG$104),0)</f>
        <v>4188346.2222586805</v>
      </c>
      <c r="AH277" s="197">
        <f>IFERROR(MIN(AH274,AH275/'Asset base'!AH$104),0)</f>
        <v>4188346.2222586805</v>
      </c>
      <c r="AI277" s="197">
        <f>IFERROR(MIN(AI274,AI275/'Asset base'!AI$104),0)</f>
        <v>4188346.2222586805</v>
      </c>
      <c r="AJ277" s="197">
        <f>IFERROR(MIN(AJ274,AJ275/'Asset base'!AJ$104),0)</f>
        <v>4188346.2222586805</v>
      </c>
      <c r="AK277" s="197">
        <f>IFERROR(MIN(AK274,AK275/'Asset base'!AK$104),0)</f>
        <v>4188346.2222586805</v>
      </c>
      <c r="AL277" s="197">
        <f>IFERROR(MIN(AL274,AL275/'Asset base'!AL$104),0)</f>
        <v>4188346.2222586805</v>
      </c>
      <c r="AM277" s="197">
        <f>IFERROR(MIN(AM274,AM275/'Asset base'!AM$104),0)</f>
        <v>4188346.2222586805</v>
      </c>
    </row>
    <row r="278" spans="1:39" outlineLevel="1">
      <c r="A278" s="100"/>
      <c r="B278" s="100"/>
      <c r="C278" s="100"/>
      <c r="D278" s="179" t="str">
        <f t="shared" si="196"/>
        <v>Terminal facilities</v>
      </c>
      <c r="E278" s="165" t="str">
        <f>H592</f>
        <v>Terminal International</v>
      </c>
      <c r="F278" s="165"/>
      <c r="G278" s="165" t="s">
        <v>77</v>
      </c>
      <c r="H278" s="121"/>
      <c r="I278" s="165"/>
      <c r="J278" s="165"/>
      <c r="K278" s="305"/>
      <c r="L278" s="305"/>
      <c r="M278" s="306"/>
      <c r="N278" s="376"/>
      <c r="O278" s="197">
        <f t="shared" ref="O278:X278" si="203">SUM(O276:O277)</f>
        <v>4302568.4444809025</v>
      </c>
      <c r="P278" s="164">
        <f t="shared" si="203"/>
        <v>8438470.222295139</v>
      </c>
      <c r="Q278" s="164">
        <f t="shared" si="203"/>
        <v>12574372.000109375</v>
      </c>
      <c r="R278" s="164">
        <f t="shared" si="203"/>
        <v>16762718.222368054</v>
      </c>
      <c r="S278" s="164">
        <f t="shared" si="203"/>
        <v>20951064.444626734</v>
      </c>
      <c r="T278" s="164">
        <f t="shared" si="203"/>
        <v>25139410.666885413</v>
      </c>
      <c r="U278" s="164">
        <f t="shared" si="203"/>
        <v>29327756.889144093</v>
      </c>
      <c r="V278" s="164">
        <f t="shared" si="203"/>
        <v>33516103.111402772</v>
      </c>
      <c r="W278" s="164">
        <f t="shared" si="203"/>
        <v>37704449.333661452</v>
      </c>
      <c r="X278" s="164">
        <f t="shared" si="203"/>
        <v>41892795.555920132</v>
      </c>
      <c r="Y278" s="164">
        <f>SUM(Y276:Y277)</f>
        <v>46081141.778178811</v>
      </c>
      <c r="Z278" s="164">
        <f t="shared" ref="Z278:AM278" si="204">SUM(Z276:Z277)</f>
        <v>50269488.000437491</v>
      </c>
      <c r="AA278" s="164">
        <f t="shared" si="204"/>
        <v>54457834.22269617</v>
      </c>
      <c r="AB278" s="164">
        <f t="shared" si="204"/>
        <v>58646180.44495485</v>
      </c>
      <c r="AC278" s="164">
        <f t="shared" si="204"/>
        <v>62834526.667213529</v>
      </c>
      <c r="AD278" s="164">
        <f t="shared" si="204"/>
        <v>67022872.889472209</v>
      </c>
      <c r="AE278" s="164">
        <f t="shared" si="204"/>
        <v>71211219.111730888</v>
      </c>
      <c r="AF278" s="164">
        <f t="shared" si="204"/>
        <v>75399565.333989576</v>
      </c>
      <c r="AG278" s="164">
        <f t="shared" si="204"/>
        <v>79587911.556248263</v>
      </c>
      <c r="AH278" s="164">
        <f t="shared" si="204"/>
        <v>83776257.77850695</v>
      </c>
      <c r="AI278" s="164">
        <f t="shared" si="204"/>
        <v>87964604.000765637</v>
      </c>
      <c r="AJ278" s="164">
        <f t="shared" si="204"/>
        <v>92152950.223024324</v>
      </c>
      <c r="AK278" s="164">
        <f t="shared" si="204"/>
        <v>96341296.445283011</v>
      </c>
      <c r="AL278" s="164">
        <f t="shared" si="204"/>
        <v>100529642.6675417</v>
      </c>
      <c r="AM278" s="164">
        <f t="shared" si="204"/>
        <v>104717988.88980038</v>
      </c>
    </row>
    <row r="279" spans="1:39" outlineLevel="1">
      <c r="A279" s="100"/>
      <c r="B279" s="100"/>
      <c r="C279" s="100"/>
      <c r="D279" s="179" t="str">
        <f t="shared" si="196"/>
        <v>Terminal facilities</v>
      </c>
      <c r="E279" s="165" t="str">
        <f>H592</f>
        <v>Terminal International</v>
      </c>
      <c r="F279" s="165"/>
      <c r="G279" s="200" t="s">
        <v>76</v>
      </c>
      <c r="H279" s="201"/>
      <c r="I279" s="200"/>
      <c r="J279" s="200"/>
      <c r="K279" s="198">
        <f t="shared" ref="K279:S279" si="205">K275-K278</f>
        <v>0</v>
      </c>
      <c r="L279" s="198">
        <f t="shared" si="205"/>
        <v>0</v>
      </c>
      <c r="M279" s="227">
        <f>N274</f>
        <v>0</v>
      </c>
      <c r="N279" s="661">
        <f>'[7]2008-2012 Asset Mov''t Revised'!$AS$82-439000</f>
        <v>116169348.00098437</v>
      </c>
      <c r="O279" s="199">
        <f t="shared" si="205"/>
        <v>111866779.55650347</v>
      </c>
      <c r="P279" s="198">
        <f t="shared" si="205"/>
        <v>103230877.77868924</v>
      </c>
      <c r="Q279" s="198">
        <f t="shared" si="205"/>
        <v>99094976.000874996</v>
      </c>
      <c r="R279" s="198">
        <f t="shared" si="205"/>
        <v>96322629.778616309</v>
      </c>
      <c r="S279" s="198">
        <f t="shared" si="205"/>
        <v>92134283.556357637</v>
      </c>
      <c r="T279" s="198">
        <f t="shared" ref="T279:AM279" si="206">T275-T278</f>
        <v>87945937.334098965</v>
      </c>
      <c r="U279" s="198">
        <f t="shared" si="206"/>
        <v>83757591.111840278</v>
      </c>
      <c r="V279" s="198">
        <f t="shared" si="206"/>
        <v>79569244.889581591</v>
      </c>
      <c r="W279" s="198">
        <f t="shared" si="206"/>
        <v>75380898.667322919</v>
      </c>
      <c r="X279" s="198">
        <f t="shared" si="206"/>
        <v>71192552.445064247</v>
      </c>
      <c r="Y279" s="198">
        <f t="shared" si="206"/>
        <v>67004206.22280556</v>
      </c>
      <c r="Z279" s="198">
        <f t="shared" si="206"/>
        <v>62815860.00054688</v>
      </c>
      <c r="AA279" s="198">
        <f t="shared" si="206"/>
        <v>58627513.7782882</v>
      </c>
      <c r="AB279" s="198">
        <f t="shared" si="206"/>
        <v>54439167.556029521</v>
      </c>
      <c r="AC279" s="198">
        <f t="shared" si="206"/>
        <v>50250821.333770841</v>
      </c>
      <c r="AD279" s="198">
        <f t="shared" si="206"/>
        <v>46062475.111512162</v>
      </c>
      <c r="AE279" s="198">
        <f t="shared" si="206"/>
        <v>41874128.889253482</v>
      </c>
      <c r="AF279" s="198">
        <f t="shared" si="206"/>
        <v>37685782.666994795</v>
      </c>
      <c r="AG279" s="198">
        <f t="shared" si="206"/>
        <v>33497436.444736108</v>
      </c>
      <c r="AH279" s="198">
        <f t="shared" si="206"/>
        <v>29309090.222477421</v>
      </c>
      <c r="AI279" s="198">
        <f t="shared" si="206"/>
        <v>25120744.000218734</v>
      </c>
      <c r="AJ279" s="198">
        <f t="shared" si="206"/>
        <v>20932397.777960047</v>
      </c>
      <c r="AK279" s="198">
        <f t="shared" si="206"/>
        <v>16744051.55570136</v>
      </c>
      <c r="AL279" s="198">
        <f t="shared" si="206"/>
        <v>12555705.333442673</v>
      </c>
      <c r="AM279" s="198">
        <f t="shared" si="206"/>
        <v>8367359.1111839861</v>
      </c>
    </row>
    <row r="280" spans="1:39" outlineLevel="1">
      <c r="A280" s="100"/>
      <c r="B280" s="100"/>
      <c r="C280" s="100"/>
      <c r="D280" s="179"/>
      <c r="E280" s="165"/>
      <c r="F280" s="165"/>
      <c r="G280" s="165"/>
      <c r="H280" s="121"/>
      <c r="I280" s="165"/>
      <c r="J280" s="165"/>
      <c r="K280" s="164"/>
      <c r="L280" s="164"/>
      <c r="M280" s="227"/>
      <c r="N280" s="197"/>
      <c r="O280" s="197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</row>
    <row r="281" spans="1:39" outlineLevel="1">
      <c r="A281" s="100"/>
      <c r="B281" s="100"/>
      <c r="C281" s="100"/>
      <c r="D281" s="179"/>
      <c r="E281" s="165"/>
      <c r="F281" s="165"/>
      <c r="G281" s="206" t="str">
        <f>G666</f>
        <v>Car parking</v>
      </c>
      <c r="H281" s="121"/>
      <c r="I281" s="165"/>
      <c r="J281" s="165"/>
      <c r="K281" s="207"/>
      <c r="L281" s="164"/>
      <c r="M281" s="227"/>
      <c r="N281" s="197"/>
      <c r="O281" s="197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</row>
    <row r="282" spans="1:39" outlineLevel="1">
      <c r="A282" s="100"/>
      <c r="B282" s="100"/>
      <c r="C282" s="100"/>
      <c r="D282" s="179"/>
      <c r="E282" s="165"/>
      <c r="F282" s="165"/>
      <c r="G282" s="205"/>
      <c r="H282" s="121"/>
      <c r="I282" s="165"/>
      <c r="J282" s="165"/>
      <c r="K282" s="207"/>
      <c r="L282" s="164"/>
      <c r="M282" s="227"/>
      <c r="N282" s="197"/>
      <c r="O282" s="197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</row>
    <row r="283" spans="1:39" outlineLevel="1">
      <c r="A283" s="100"/>
      <c r="B283" s="100"/>
      <c r="C283" s="100"/>
      <c r="D283" s="179" t="str">
        <f t="shared" ref="D283:D288" si="207">$G$572</f>
        <v>Car parking</v>
      </c>
      <c r="E283" s="165" t="str">
        <f>H592</f>
        <v>Terminal International</v>
      </c>
      <c r="F283" s="165"/>
      <c r="G283" s="165" t="s">
        <v>80</v>
      </c>
      <c r="H283" s="121"/>
      <c r="I283" s="165"/>
      <c r="J283" s="165"/>
      <c r="K283" s="164"/>
      <c r="L283" s="164"/>
      <c r="M283" s="227"/>
      <c r="N283" s="376">
        <f>[2]OUTPUT!N472</f>
        <v>0</v>
      </c>
      <c r="O283" s="197">
        <f t="shared" ref="O283:X283" si="208">N288</f>
        <v>0</v>
      </c>
      <c r="P283" s="164">
        <f t="shared" si="208"/>
        <v>0</v>
      </c>
      <c r="Q283" s="164">
        <f t="shared" si="208"/>
        <v>0</v>
      </c>
      <c r="R283" s="164">
        <f t="shared" si="208"/>
        <v>0</v>
      </c>
      <c r="S283" s="164">
        <f t="shared" si="208"/>
        <v>0</v>
      </c>
      <c r="T283" s="164">
        <f t="shared" si="208"/>
        <v>0</v>
      </c>
      <c r="U283" s="164">
        <f t="shared" si="208"/>
        <v>0</v>
      </c>
      <c r="V283" s="164">
        <f t="shared" si="208"/>
        <v>0</v>
      </c>
      <c r="W283" s="164">
        <f t="shared" si="208"/>
        <v>0</v>
      </c>
      <c r="X283" s="164">
        <f t="shared" si="208"/>
        <v>0</v>
      </c>
      <c r="Y283" s="164">
        <f t="shared" ref="Y283:AM283" si="209">X288</f>
        <v>0</v>
      </c>
      <c r="Z283" s="164">
        <f t="shared" si="209"/>
        <v>0</v>
      </c>
      <c r="AA283" s="164">
        <f t="shared" si="209"/>
        <v>0</v>
      </c>
      <c r="AB283" s="164">
        <f t="shared" si="209"/>
        <v>0</v>
      </c>
      <c r="AC283" s="164">
        <f t="shared" si="209"/>
        <v>0</v>
      </c>
      <c r="AD283" s="164">
        <f t="shared" si="209"/>
        <v>0</v>
      </c>
      <c r="AE283" s="164">
        <f t="shared" si="209"/>
        <v>0</v>
      </c>
      <c r="AF283" s="164">
        <f t="shared" si="209"/>
        <v>0</v>
      </c>
      <c r="AG283" s="164">
        <f t="shared" si="209"/>
        <v>0</v>
      </c>
      <c r="AH283" s="164">
        <f t="shared" si="209"/>
        <v>0</v>
      </c>
      <c r="AI283" s="164">
        <f t="shared" si="209"/>
        <v>0</v>
      </c>
      <c r="AJ283" s="164">
        <f t="shared" si="209"/>
        <v>0</v>
      </c>
      <c r="AK283" s="164">
        <f t="shared" si="209"/>
        <v>0</v>
      </c>
      <c r="AL283" s="164">
        <f t="shared" si="209"/>
        <v>0</v>
      </c>
      <c r="AM283" s="164">
        <f t="shared" si="209"/>
        <v>0</v>
      </c>
    </row>
    <row r="284" spans="1:39" outlineLevel="1">
      <c r="A284" s="100"/>
      <c r="B284" s="100"/>
      <c r="C284" s="100"/>
      <c r="D284" s="179" t="str">
        <f t="shared" si="207"/>
        <v>Car parking</v>
      </c>
      <c r="E284" s="165" t="str">
        <f>H592</f>
        <v>Terminal International</v>
      </c>
      <c r="F284" s="165"/>
      <c r="G284" s="165" t="s">
        <v>60</v>
      </c>
      <c r="H284" s="121"/>
      <c r="I284" s="165"/>
      <c r="J284" s="165"/>
      <c r="K284" s="303"/>
      <c r="L284" s="303"/>
      <c r="M284" s="304"/>
      <c r="N284" s="376">
        <f>[2]OUTPUT!N473</f>
        <v>0</v>
      </c>
      <c r="O284" s="197">
        <f t="shared" ref="O284:X284" si="210">N284</f>
        <v>0</v>
      </c>
      <c r="P284" s="164">
        <f t="shared" si="210"/>
        <v>0</v>
      </c>
      <c r="Q284" s="164">
        <f t="shared" si="210"/>
        <v>0</v>
      </c>
      <c r="R284" s="164">
        <f t="shared" si="210"/>
        <v>0</v>
      </c>
      <c r="S284" s="164">
        <f t="shared" si="210"/>
        <v>0</v>
      </c>
      <c r="T284" s="164">
        <f t="shared" si="210"/>
        <v>0</v>
      </c>
      <c r="U284" s="164">
        <f t="shared" si="210"/>
        <v>0</v>
      </c>
      <c r="V284" s="164">
        <f t="shared" si="210"/>
        <v>0</v>
      </c>
      <c r="W284" s="164">
        <f t="shared" si="210"/>
        <v>0</v>
      </c>
      <c r="X284" s="164">
        <f t="shared" si="210"/>
        <v>0</v>
      </c>
      <c r="Y284" s="164">
        <f t="shared" ref="Y284:AM284" si="211">X284</f>
        <v>0</v>
      </c>
      <c r="Z284" s="164">
        <f t="shared" si="211"/>
        <v>0</v>
      </c>
      <c r="AA284" s="164">
        <f t="shared" si="211"/>
        <v>0</v>
      </c>
      <c r="AB284" s="164">
        <f t="shared" si="211"/>
        <v>0</v>
      </c>
      <c r="AC284" s="164">
        <f t="shared" si="211"/>
        <v>0</v>
      </c>
      <c r="AD284" s="164">
        <f t="shared" si="211"/>
        <v>0</v>
      </c>
      <c r="AE284" s="164">
        <f t="shared" si="211"/>
        <v>0</v>
      </c>
      <c r="AF284" s="164">
        <f t="shared" si="211"/>
        <v>0</v>
      </c>
      <c r="AG284" s="164">
        <f t="shared" si="211"/>
        <v>0</v>
      </c>
      <c r="AH284" s="164">
        <f t="shared" si="211"/>
        <v>0</v>
      </c>
      <c r="AI284" s="164">
        <f t="shared" si="211"/>
        <v>0</v>
      </c>
      <c r="AJ284" s="164">
        <f t="shared" si="211"/>
        <v>0</v>
      </c>
      <c r="AK284" s="164">
        <f t="shared" si="211"/>
        <v>0</v>
      </c>
      <c r="AL284" s="164">
        <f t="shared" si="211"/>
        <v>0</v>
      </c>
      <c r="AM284" s="164">
        <f t="shared" si="211"/>
        <v>0</v>
      </c>
    </row>
    <row r="285" spans="1:39" outlineLevel="1">
      <c r="A285" s="100"/>
      <c r="B285" s="100"/>
      <c r="C285" s="100"/>
      <c r="D285" s="179" t="str">
        <f t="shared" si="207"/>
        <v>Car parking</v>
      </c>
      <c r="E285" s="165" t="str">
        <f>H592</f>
        <v>Terminal International</v>
      </c>
      <c r="F285" s="165"/>
      <c r="G285" s="165" t="s">
        <v>79</v>
      </c>
      <c r="H285" s="121"/>
      <c r="I285" s="165"/>
      <c r="J285" s="165"/>
      <c r="K285" s="303"/>
      <c r="L285" s="303"/>
      <c r="M285" s="202"/>
      <c r="N285" s="376">
        <f>[2]OUTPUT!N474</f>
        <v>0</v>
      </c>
      <c r="O285" s="197">
        <f t="shared" ref="O285:X285" si="212">N287</f>
        <v>0</v>
      </c>
      <c r="P285" s="164">
        <f t="shared" si="212"/>
        <v>0</v>
      </c>
      <c r="Q285" s="164">
        <f t="shared" si="212"/>
        <v>0</v>
      </c>
      <c r="R285" s="164">
        <f t="shared" si="212"/>
        <v>0</v>
      </c>
      <c r="S285" s="164">
        <f t="shared" si="212"/>
        <v>0</v>
      </c>
      <c r="T285" s="164">
        <f t="shared" si="212"/>
        <v>0</v>
      </c>
      <c r="U285" s="164">
        <f t="shared" si="212"/>
        <v>0</v>
      </c>
      <c r="V285" s="164">
        <f t="shared" si="212"/>
        <v>0</v>
      </c>
      <c r="W285" s="164">
        <f t="shared" si="212"/>
        <v>0</v>
      </c>
      <c r="X285" s="164">
        <f t="shared" si="212"/>
        <v>0</v>
      </c>
      <c r="Y285" s="164">
        <f t="shared" ref="Y285:AM285" si="213">X287</f>
        <v>0</v>
      </c>
      <c r="Z285" s="164">
        <f t="shared" si="213"/>
        <v>0</v>
      </c>
      <c r="AA285" s="164">
        <f t="shared" si="213"/>
        <v>0</v>
      </c>
      <c r="AB285" s="164">
        <f t="shared" si="213"/>
        <v>0</v>
      </c>
      <c r="AC285" s="164">
        <f t="shared" si="213"/>
        <v>0</v>
      </c>
      <c r="AD285" s="164">
        <f t="shared" si="213"/>
        <v>0</v>
      </c>
      <c r="AE285" s="164">
        <f t="shared" si="213"/>
        <v>0</v>
      </c>
      <c r="AF285" s="164">
        <f t="shared" si="213"/>
        <v>0</v>
      </c>
      <c r="AG285" s="164">
        <f t="shared" si="213"/>
        <v>0</v>
      </c>
      <c r="AH285" s="164">
        <f t="shared" si="213"/>
        <v>0</v>
      </c>
      <c r="AI285" s="164">
        <f t="shared" si="213"/>
        <v>0</v>
      </c>
      <c r="AJ285" s="164">
        <f t="shared" si="213"/>
        <v>0</v>
      </c>
      <c r="AK285" s="164">
        <f t="shared" si="213"/>
        <v>0</v>
      </c>
      <c r="AL285" s="164">
        <f t="shared" si="213"/>
        <v>0</v>
      </c>
      <c r="AM285" s="164">
        <f t="shared" si="213"/>
        <v>0</v>
      </c>
    </row>
    <row r="286" spans="1:39" outlineLevel="1">
      <c r="A286" s="100"/>
      <c r="B286" s="100"/>
      <c r="C286" s="100"/>
      <c r="D286" s="179" t="str">
        <f t="shared" si="207"/>
        <v>Car parking</v>
      </c>
      <c r="E286" s="165" t="str">
        <f>H592</f>
        <v>Terminal International</v>
      </c>
      <c r="F286" s="165"/>
      <c r="G286" s="165" t="s">
        <v>78</v>
      </c>
      <c r="H286" s="121"/>
      <c r="I286" s="165"/>
      <c r="J286" s="165"/>
      <c r="K286" s="303"/>
      <c r="L286" s="303"/>
      <c r="M286" s="202"/>
      <c r="N286" s="376">
        <f>[2]OUTPUT!N475</f>
        <v>0</v>
      </c>
      <c r="O286" s="197">
        <f>IFERROR(MIN(O283,O284/'Asset base'!O$105),0)</f>
        <v>0</v>
      </c>
      <c r="P286" s="164">
        <f>IFERROR(MIN(P283,P284/'Asset base'!P$105),0)</f>
        <v>0</v>
      </c>
      <c r="Q286" s="164">
        <f>IFERROR(MIN(Q283,Q284/'Asset base'!Q$105),0)</f>
        <v>0</v>
      </c>
      <c r="R286" s="164">
        <f>IFERROR(MIN(R283,R284/'Asset base'!R$105),0)</f>
        <v>0</v>
      </c>
      <c r="S286" s="164">
        <f>IFERROR(MIN(S283,S284/'Asset base'!S$105),0)</f>
        <v>0</v>
      </c>
      <c r="T286" s="164">
        <f>IFERROR(MIN(T283,T284/'Asset base'!T$105),0)</f>
        <v>0</v>
      </c>
      <c r="U286" s="164">
        <f>IFERROR(MIN(U283,U284/'Asset base'!U$105),0)</f>
        <v>0</v>
      </c>
      <c r="V286" s="164">
        <f>IFERROR(MIN(V283,V284/'Asset base'!V$105),0)</f>
        <v>0</v>
      </c>
      <c r="W286" s="164">
        <f>IFERROR(MIN(W283,W284/'Asset base'!W$105),0)</f>
        <v>0</v>
      </c>
      <c r="X286" s="164">
        <f>IFERROR(MIN(X283,X284/'Asset base'!X$105),0)</f>
        <v>0</v>
      </c>
      <c r="Y286" s="164">
        <f>IFERROR(MIN(Y283,Y284/'Asset base'!Y$105),0)</f>
        <v>0</v>
      </c>
      <c r="Z286" s="164">
        <f>IFERROR(MIN(Z283,Z284/'Asset base'!Z$105),0)</f>
        <v>0</v>
      </c>
      <c r="AA286" s="164">
        <f>IFERROR(MIN(AA283,AA284/'Asset base'!AA$105),0)</f>
        <v>0</v>
      </c>
      <c r="AB286" s="164">
        <f>IFERROR(MIN(AB283,AB284/'Asset base'!AB$105),0)</f>
        <v>0</v>
      </c>
      <c r="AC286" s="164">
        <f>IFERROR(MIN(AC283,AC284/'Asset base'!AC$105),0)</f>
        <v>0</v>
      </c>
      <c r="AD286" s="164">
        <f>IFERROR(MIN(AD283,AD284/'Asset base'!AD$105),0)</f>
        <v>0</v>
      </c>
      <c r="AE286" s="164">
        <f>IFERROR(MIN(AE283,AE284/'Asset base'!AE$105),0)</f>
        <v>0</v>
      </c>
      <c r="AF286" s="164">
        <f>IFERROR(MIN(AF283,AF284/'Asset base'!AF$105),0)</f>
        <v>0</v>
      </c>
      <c r="AG286" s="164">
        <f>IFERROR(MIN(AG283,AG284/'Asset base'!AG$105),0)</f>
        <v>0</v>
      </c>
      <c r="AH286" s="164">
        <f>IFERROR(MIN(AH283,AH284/'Asset base'!AH$105),0)</f>
        <v>0</v>
      </c>
      <c r="AI286" s="164">
        <f>IFERROR(MIN(AI283,AI284/'Asset base'!AI$105),0)</f>
        <v>0</v>
      </c>
      <c r="AJ286" s="164">
        <f>IFERROR(MIN(AJ283,AJ284/'Asset base'!AJ$105),0)</f>
        <v>0</v>
      </c>
      <c r="AK286" s="164">
        <f>IFERROR(MIN(AK283,AK284/'Asset base'!AK$105),0)</f>
        <v>0</v>
      </c>
      <c r="AL286" s="164">
        <f>IFERROR(MIN(AL283,AL284/'Asset base'!AL$105),0)</f>
        <v>0</v>
      </c>
      <c r="AM286" s="164">
        <f>IFERROR(MIN(AM283,AM284/'Asset base'!AM$105),0)</f>
        <v>0</v>
      </c>
    </row>
    <row r="287" spans="1:39" outlineLevel="1">
      <c r="A287" s="100"/>
      <c r="B287" s="100"/>
      <c r="C287" s="100"/>
      <c r="D287" s="179" t="str">
        <f t="shared" si="207"/>
        <v>Car parking</v>
      </c>
      <c r="E287" s="165" t="str">
        <f>H592</f>
        <v>Terminal International</v>
      </c>
      <c r="F287" s="165"/>
      <c r="G287" s="165" t="s">
        <v>77</v>
      </c>
      <c r="H287" s="121"/>
      <c r="I287" s="165"/>
      <c r="J287" s="165"/>
      <c r="K287" s="305"/>
      <c r="L287" s="305"/>
      <c r="M287" s="306"/>
      <c r="N287" s="376">
        <f>[2]OUTPUT!N476</f>
        <v>0</v>
      </c>
      <c r="O287" s="197">
        <f t="shared" ref="O287:X287" si="214">SUM(O285:O286)</f>
        <v>0</v>
      </c>
      <c r="P287" s="164">
        <f t="shared" si="214"/>
        <v>0</v>
      </c>
      <c r="Q287" s="164">
        <f t="shared" si="214"/>
        <v>0</v>
      </c>
      <c r="R287" s="164">
        <f t="shared" si="214"/>
        <v>0</v>
      </c>
      <c r="S287" s="164">
        <f t="shared" si="214"/>
        <v>0</v>
      </c>
      <c r="T287" s="164">
        <f t="shared" si="214"/>
        <v>0</v>
      </c>
      <c r="U287" s="164">
        <f t="shared" si="214"/>
        <v>0</v>
      </c>
      <c r="V287" s="164">
        <f t="shared" si="214"/>
        <v>0</v>
      </c>
      <c r="W287" s="164">
        <f t="shared" si="214"/>
        <v>0</v>
      </c>
      <c r="X287" s="164">
        <f t="shared" si="214"/>
        <v>0</v>
      </c>
      <c r="Y287" s="164">
        <f>SUM(Y285:Y286)</f>
        <v>0</v>
      </c>
      <c r="Z287" s="164">
        <f t="shared" ref="Z287:AM287" si="215">SUM(Z285:Z286)</f>
        <v>0</v>
      </c>
      <c r="AA287" s="164">
        <f t="shared" si="215"/>
        <v>0</v>
      </c>
      <c r="AB287" s="164">
        <f t="shared" si="215"/>
        <v>0</v>
      </c>
      <c r="AC287" s="164">
        <f t="shared" si="215"/>
        <v>0</v>
      </c>
      <c r="AD287" s="164">
        <f t="shared" si="215"/>
        <v>0</v>
      </c>
      <c r="AE287" s="164">
        <f t="shared" si="215"/>
        <v>0</v>
      </c>
      <c r="AF287" s="164">
        <f t="shared" si="215"/>
        <v>0</v>
      </c>
      <c r="AG287" s="164">
        <f t="shared" si="215"/>
        <v>0</v>
      </c>
      <c r="AH287" s="164">
        <f t="shared" si="215"/>
        <v>0</v>
      </c>
      <c r="AI287" s="164">
        <f t="shared" si="215"/>
        <v>0</v>
      </c>
      <c r="AJ287" s="164">
        <f t="shared" si="215"/>
        <v>0</v>
      </c>
      <c r="AK287" s="164">
        <f t="shared" si="215"/>
        <v>0</v>
      </c>
      <c r="AL287" s="164">
        <f t="shared" si="215"/>
        <v>0</v>
      </c>
      <c r="AM287" s="164">
        <f t="shared" si="215"/>
        <v>0</v>
      </c>
    </row>
    <row r="288" spans="1:39" outlineLevel="1">
      <c r="A288" s="100"/>
      <c r="B288" s="100"/>
      <c r="C288" s="100"/>
      <c r="D288" s="179" t="str">
        <f t="shared" si="207"/>
        <v>Car parking</v>
      </c>
      <c r="E288" s="165" t="str">
        <f>H592</f>
        <v>Terminal International</v>
      </c>
      <c r="F288" s="165"/>
      <c r="G288" s="200" t="s">
        <v>76</v>
      </c>
      <c r="H288" s="201"/>
      <c r="I288" s="200"/>
      <c r="J288" s="200"/>
      <c r="K288" s="198">
        <f t="shared" ref="K288:S288" si="216">K284-K287</f>
        <v>0</v>
      </c>
      <c r="L288" s="198">
        <f t="shared" si="216"/>
        <v>0</v>
      </c>
      <c r="M288" s="227">
        <f>N283</f>
        <v>0</v>
      </c>
      <c r="N288" s="541">
        <f t="shared" si="216"/>
        <v>0</v>
      </c>
      <c r="O288" s="199">
        <f t="shared" si="216"/>
        <v>0</v>
      </c>
      <c r="P288" s="198">
        <f t="shared" si="216"/>
        <v>0</v>
      </c>
      <c r="Q288" s="198">
        <f t="shared" si="216"/>
        <v>0</v>
      </c>
      <c r="R288" s="198">
        <f t="shared" si="216"/>
        <v>0</v>
      </c>
      <c r="S288" s="198">
        <f t="shared" si="216"/>
        <v>0</v>
      </c>
      <c r="T288" s="198">
        <f t="shared" ref="T288:AM288" si="217">T284-T287</f>
        <v>0</v>
      </c>
      <c r="U288" s="198">
        <f t="shared" si="217"/>
        <v>0</v>
      </c>
      <c r="V288" s="198">
        <f t="shared" si="217"/>
        <v>0</v>
      </c>
      <c r="W288" s="198">
        <f t="shared" si="217"/>
        <v>0</v>
      </c>
      <c r="X288" s="198">
        <f t="shared" si="217"/>
        <v>0</v>
      </c>
      <c r="Y288" s="198">
        <f t="shared" si="217"/>
        <v>0</v>
      </c>
      <c r="Z288" s="198">
        <f t="shared" si="217"/>
        <v>0</v>
      </c>
      <c r="AA288" s="198">
        <f t="shared" si="217"/>
        <v>0</v>
      </c>
      <c r="AB288" s="198">
        <f t="shared" si="217"/>
        <v>0</v>
      </c>
      <c r="AC288" s="198">
        <f t="shared" si="217"/>
        <v>0</v>
      </c>
      <c r="AD288" s="198">
        <f t="shared" si="217"/>
        <v>0</v>
      </c>
      <c r="AE288" s="198">
        <f t="shared" si="217"/>
        <v>0</v>
      </c>
      <c r="AF288" s="198">
        <f t="shared" si="217"/>
        <v>0</v>
      </c>
      <c r="AG288" s="198">
        <f t="shared" si="217"/>
        <v>0</v>
      </c>
      <c r="AH288" s="198">
        <f t="shared" si="217"/>
        <v>0</v>
      </c>
      <c r="AI288" s="198">
        <f t="shared" si="217"/>
        <v>0</v>
      </c>
      <c r="AJ288" s="198">
        <f t="shared" si="217"/>
        <v>0</v>
      </c>
      <c r="AK288" s="198">
        <f t="shared" si="217"/>
        <v>0</v>
      </c>
      <c r="AL288" s="198">
        <f t="shared" si="217"/>
        <v>0</v>
      </c>
      <c r="AM288" s="198">
        <f t="shared" si="217"/>
        <v>0</v>
      </c>
    </row>
    <row r="289" spans="1:39" outlineLevel="1">
      <c r="A289" s="100"/>
      <c r="B289" s="100"/>
      <c r="C289" s="100"/>
      <c r="D289" s="179"/>
      <c r="E289" s="165"/>
      <c r="F289" s="165"/>
      <c r="G289" s="165"/>
      <c r="H289" s="121"/>
      <c r="I289" s="165"/>
      <c r="J289" s="165"/>
      <c r="K289" s="164"/>
      <c r="L289" s="164"/>
      <c r="M289" s="227"/>
      <c r="N289" s="197"/>
      <c r="O289" s="197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</row>
    <row r="290" spans="1:39" outlineLevel="1">
      <c r="A290" s="100"/>
      <c r="B290" s="100"/>
      <c r="C290" s="100"/>
      <c r="D290" s="179"/>
      <c r="E290" s="165"/>
      <c r="F290" s="165"/>
      <c r="G290" s="206" t="str">
        <f>G675</f>
        <v>Software</v>
      </c>
      <c r="H290" s="121"/>
      <c r="I290" s="165"/>
      <c r="J290" s="165"/>
      <c r="K290" s="207"/>
      <c r="L290" s="164"/>
      <c r="M290" s="227"/>
      <c r="N290" s="197"/>
      <c r="O290" s="197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  <c r="AG290" s="165"/>
      <c r="AH290" s="165"/>
      <c r="AI290" s="165"/>
      <c r="AJ290" s="165"/>
      <c r="AK290" s="165"/>
      <c r="AL290" s="165"/>
      <c r="AM290" s="165"/>
    </row>
    <row r="291" spans="1:39" outlineLevel="1">
      <c r="A291" s="100"/>
      <c r="B291" s="100"/>
      <c r="C291" s="100"/>
      <c r="D291" s="179"/>
      <c r="E291" s="165"/>
      <c r="F291" s="165"/>
      <c r="G291" s="205"/>
      <c r="H291" s="121"/>
      <c r="I291" s="165"/>
      <c r="J291" s="165"/>
      <c r="K291" s="207"/>
      <c r="L291" s="164"/>
      <c r="M291" s="227"/>
      <c r="N291" s="197"/>
      <c r="O291" s="197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  <c r="AG291" s="165"/>
      <c r="AH291" s="165"/>
      <c r="AI291" s="165"/>
      <c r="AJ291" s="165"/>
      <c r="AK291" s="165"/>
      <c r="AL291" s="165"/>
      <c r="AM291" s="165"/>
    </row>
    <row r="292" spans="1:39" outlineLevel="1">
      <c r="A292" s="100"/>
      <c r="B292" s="100"/>
      <c r="C292" s="100"/>
      <c r="D292" s="179" t="str">
        <f t="shared" ref="D292:D297" si="218">$G$581</f>
        <v>Software</v>
      </c>
      <c r="E292" s="165" t="str">
        <f>H592</f>
        <v>Terminal International</v>
      </c>
      <c r="F292" s="165"/>
      <c r="G292" s="165" t="s">
        <v>80</v>
      </c>
      <c r="H292" s="121"/>
      <c r="I292" s="165"/>
      <c r="J292" s="165"/>
      <c r="K292" s="164"/>
      <c r="L292" s="164"/>
      <c r="M292" s="227"/>
      <c r="N292" s="376"/>
      <c r="O292" s="197">
        <f t="shared" ref="O292:X292" si="219">N297</f>
        <v>56653.908146312038</v>
      </c>
      <c r="P292" s="164">
        <f t="shared" si="219"/>
        <v>42490.431109734025</v>
      </c>
      <c r="Q292" s="164">
        <f t="shared" si="219"/>
        <v>28326.954073156019</v>
      </c>
      <c r="R292" s="164">
        <f t="shared" si="219"/>
        <v>14163.477036578013</v>
      </c>
      <c r="S292" s="164">
        <f t="shared" si="219"/>
        <v>0</v>
      </c>
      <c r="T292" s="164">
        <f t="shared" si="219"/>
        <v>0</v>
      </c>
      <c r="U292" s="164">
        <f t="shared" si="219"/>
        <v>0</v>
      </c>
      <c r="V292" s="164">
        <f t="shared" si="219"/>
        <v>0</v>
      </c>
      <c r="W292" s="164">
        <f t="shared" si="219"/>
        <v>0</v>
      </c>
      <c r="X292" s="164">
        <f t="shared" si="219"/>
        <v>0</v>
      </c>
      <c r="Y292" s="164">
        <f t="shared" ref="Y292:AM292" si="220">X297</f>
        <v>0</v>
      </c>
      <c r="Z292" s="164">
        <f t="shared" si="220"/>
        <v>0</v>
      </c>
      <c r="AA292" s="164">
        <f t="shared" si="220"/>
        <v>0</v>
      </c>
      <c r="AB292" s="164">
        <f t="shared" si="220"/>
        <v>0</v>
      </c>
      <c r="AC292" s="164">
        <f t="shared" si="220"/>
        <v>0</v>
      </c>
      <c r="AD292" s="164">
        <f t="shared" si="220"/>
        <v>0</v>
      </c>
      <c r="AE292" s="164">
        <f t="shared" si="220"/>
        <v>0</v>
      </c>
      <c r="AF292" s="164">
        <f t="shared" si="220"/>
        <v>0</v>
      </c>
      <c r="AG292" s="164">
        <f t="shared" si="220"/>
        <v>0</v>
      </c>
      <c r="AH292" s="164">
        <f t="shared" si="220"/>
        <v>0</v>
      </c>
      <c r="AI292" s="164">
        <f t="shared" si="220"/>
        <v>0</v>
      </c>
      <c r="AJ292" s="164">
        <f t="shared" si="220"/>
        <v>0</v>
      </c>
      <c r="AK292" s="164">
        <f t="shared" si="220"/>
        <v>0</v>
      </c>
      <c r="AL292" s="164">
        <f t="shared" si="220"/>
        <v>0</v>
      </c>
      <c r="AM292" s="164">
        <f t="shared" si="220"/>
        <v>0</v>
      </c>
    </row>
    <row r="293" spans="1:39" outlineLevel="1">
      <c r="A293" s="100"/>
      <c r="B293" s="100"/>
      <c r="C293" s="100"/>
      <c r="D293" s="179" t="str">
        <f t="shared" si="218"/>
        <v>Software</v>
      </c>
      <c r="E293" s="165" t="str">
        <f>H592</f>
        <v>Terminal International</v>
      </c>
      <c r="F293" s="165"/>
      <c r="G293" s="165" t="s">
        <v>60</v>
      </c>
      <c r="H293" s="121"/>
      <c r="I293" s="165"/>
      <c r="J293" s="165"/>
      <c r="K293" s="303"/>
      <c r="L293" s="303"/>
      <c r="M293" s="304"/>
      <c r="N293" s="376"/>
      <c r="O293" s="197">
        <f>N297</f>
        <v>56653.908146312038</v>
      </c>
      <c r="P293" s="164">
        <f t="shared" ref="P293:X293" si="221">O293</f>
        <v>56653.908146312038</v>
      </c>
      <c r="Q293" s="164">
        <f t="shared" si="221"/>
        <v>56653.908146312038</v>
      </c>
      <c r="R293" s="164">
        <f t="shared" si="221"/>
        <v>56653.908146312038</v>
      </c>
      <c r="S293" s="164">
        <f t="shared" si="221"/>
        <v>56653.908146312038</v>
      </c>
      <c r="T293" s="164">
        <f t="shared" si="221"/>
        <v>56653.908146312038</v>
      </c>
      <c r="U293" s="164">
        <f t="shared" si="221"/>
        <v>56653.908146312038</v>
      </c>
      <c r="V293" s="164">
        <f t="shared" si="221"/>
        <v>56653.908146312038</v>
      </c>
      <c r="W293" s="164">
        <f t="shared" si="221"/>
        <v>56653.908146312038</v>
      </c>
      <c r="X293" s="164">
        <f t="shared" si="221"/>
        <v>56653.908146312038</v>
      </c>
      <c r="Y293" s="164">
        <f t="shared" ref="Y293:AM293" si="222">X293</f>
        <v>56653.908146312038</v>
      </c>
      <c r="Z293" s="164">
        <f t="shared" si="222"/>
        <v>56653.908146312038</v>
      </c>
      <c r="AA293" s="164">
        <f t="shared" si="222"/>
        <v>56653.908146312038</v>
      </c>
      <c r="AB293" s="164">
        <f t="shared" si="222"/>
        <v>56653.908146312038</v>
      </c>
      <c r="AC293" s="164">
        <f t="shared" si="222"/>
        <v>56653.908146312038</v>
      </c>
      <c r="AD293" s="164">
        <f t="shared" si="222"/>
        <v>56653.908146312038</v>
      </c>
      <c r="AE293" s="164">
        <f t="shared" si="222"/>
        <v>56653.908146312038</v>
      </c>
      <c r="AF293" s="164">
        <f t="shared" si="222"/>
        <v>56653.908146312038</v>
      </c>
      <c r="AG293" s="164">
        <f t="shared" si="222"/>
        <v>56653.908146312038</v>
      </c>
      <c r="AH293" s="164">
        <f t="shared" si="222"/>
        <v>56653.908146312038</v>
      </c>
      <c r="AI293" s="164">
        <f t="shared" si="222"/>
        <v>56653.908146312038</v>
      </c>
      <c r="AJ293" s="164">
        <f t="shared" si="222"/>
        <v>56653.908146312038</v>
      </c>
      <c r="AK293" s="164">
        <f t="shared" si="222"/>
        <v>56653.908146312038</v>
      </c>
      <c r="AL293" s="164">
        <f t="shared" si="222"/>
        <v>56653.908146312038</v>
      </c>
      <c r="AM293" s="164">
        <f t="shared" si="222"/>
        <v>56653.908146312038</v>
      </c>
    </row>
    <row r="294" spans="1:39" outlineLevel="1">
      <c r="A294" s="100"/>
      <c r="B294" s="100"/>
      <c r="C294" s="100"/>
      <c r="D294" s="179" t="str">
        <f t="shared" si="218"/>
        <v>Software</v>
      </c>
      <c r="E294" s="165" t="str">
        <f>H592</f>
        <v>Terminal International</v>
      </c>
      <c r="F294" s="165"/>
      <c r="G294" s="165" t="s">
        <v>79</v>
      </c>
      <c r="H294" s="121"/>
      <c r="I294" s="165"/>
      <c r="J294" s="165"/>
      <c r="K294" s="303"/>
      <c r="L294" s="303"/>
      <c r="M294" s="202"/>
      <c r="N294" s="376"/>
      <c r="O294" s="197">
        <f t="shared" ref="O294:X294" si="223">N296</f>
        <v>0</v>
      </c>
      <c r="P294" s="164">
        <f t="shared" si="223"/>
        <v>14163.47703657801</v>
      </c>
      <c r="Q294" s="164">
        <f t="shared" si="223"/>
        <v>28326.954073156019</v>
      </c>
      <c r="R294" s="164">
        <f t="shared" si="223"/>
        <v>42490.431109734025</v>
      </c>
      <c r="S294" s="164">
        <f t="shared" si="223"/>
        <v>56653.908146312038</v>
      </c>
      <c r="T294" s="164">
        <f t="shared" si="223"/>
        <v>56653.908146312038</v>
      </c>
      <c r="U294" s="164">
        <f t="shared" si="223"/>
        <v>56653.908146312038</v>
      </c>
      <c r="V294" s="164">
        <f t="shared" si="223"/>
        <v>56653.908146312038</v>
      </c>
      <c r="W294" s="164">
        <f t="shared" si="223"/>
        <v>56653.908146312038</v>
      </c>
      <c r="X294" s="164">
        <f t="shared" si="223"/>
        <v>56653.908146312038</v>
      </c>
      <c r="Y294" s="164">
        <f t="shared" ref="Y294:AM294" si="224">X296</f>
        <v>56653.908146312038</v>
      </c>
      <c r="Z294" s="164">
        <f t="shared" si="224"/>
        <v>56653.908146312038</v>
      </c>
      <c r="AA294" s="164">
        <f t="shared" si="224"/>
        <v>56653.908146312038</v>
      </c>
      <c r="AB294" s="164">
        <f t="shared" si="224"/>
        <v>56653.908146312038</v>
      </c>
      <c r="AC294" s="164">
        <f t="shared" si="224"/>
        <v>56653.908146312038</v>
      </c>
      <c r="AD294" s="164">
        <f t="shared" si="224"/>
        <v>56653.908146312038</v>
      </c>
      <c r="AE294" s="164">
        <f t="shared" si="224"/>
        <v>56653.908146312038</v>
      </c>
      <c r="AF294" s="164">
        <f t="shared" si="224"/>
        <v>56653.908146312038</v>
      </c>
      <c r="AG294" s="164">
        <f t="shared" si="224"/>
        <v>56653.908146312038</v>
      </c>
      <c r="AH294" s="164">
        <f t="shared" si="224"/>
        <v>56653.908146312038</v>
      </c>
      <c r="AI294" s="164">
        <f t="shared" si="224"/>
        <v>56653.908146312038</v>
      </c>
      <c r="AJ294" s="164">
        <f t="shared" si="224"/>
        <v>56653.908146312038</v>
      </c>
      <c r="AK294" s="164">
        <f t="shared" si="224"/>
        <v>56653.908146312038</v>
      </c>
      <c r="AL294" s="164">
        <f t="shared" si="224"/>
        <v>56653.908146312038</v>
      </c>
      <c r="AM294" s="164">
        <f t="shared" si="224"/>
        <v>56653.908146312038</v>
      </c>
    </row>
    <row r="295" spans="1:39" outlineLevel="1">
      <c r="A295" s="100"/>
      <c r="B295" s="100"/>
      <c r="C295" s="100"/>
      <c r="D295" s="179" t="str">
        <f t="shared" si="218"/>
        <v>Software</v>
      </c>
      <c r="E295" s="165" t="str">
        <f>H592</f>
        <v>Terminal International</v>
      </c>
      <c r="F295" s="165"/>
      <c r="G295" s="165" t="s">
        <v>78</v>
      </c>
      <c r="H295" s="121"/>
      <c r="I295" s="165"/>
      <c r="J295" s="165"/>
      <c r="K295" s="303"/>
      <c r="L295" s="303"/>
      <c r="M295" s="202"/>
      <c r="N295" s="376"/>
      <c r="O295" s="197">
        <f>IFERROR(MIN(O292,O293/'Asset base'!O$106),0)</f>
        <v>14163.47703657801</v>
      </c>
      <c r="P295" s="164">
        <f>IFERROR(MIN(P292,P293/'Asset base'!P$106),0)</f>
        <v>14163.47703657801</v>
      </c>
      <c r="Q295" s="164">
        <f>IFERROR(MIN(Q292,Q293/'Asset base'!Q$106),0)</f>
        <v>14163.47703657801</v>
      </c>
      <c r="R295" s="164">
        <f>IFERROR(MIN(R292,R293/'Asset base'!R$106),0)</f>
        <v>14163.47703657801</v>
      </c>
      <c r="S295" s="164">
        <f>IFERROR(MIN(S292,S293/'Asset base'!S$106),0)</f>
        <v>0</v>
      </c>
      <c r="T295" s="164">
        <f>IFERROR(MIN(T292,T293/'Asset base'!T$106),0)</f>
        <v>0</v>
      </c>
      <c r="U295" s="164">
        <f>IFERROR(MIN(U292,U293/'Asset base'!U$106),0)</f>
        <v>0</v>
      </c>
      <c r="V295" s="164">
        <f>IFERROR(MIN(V292,V293/'Asset base'!V$106),0)</f>
        <v>0</v>
      </c>
      <c r="W295" s="164">
        <f>IFERROR(MIN(W292,W293/'Asset base'!W$106),0)</f>
        <v>0</v>
      </c>
      <c r="X295" s="164">
        <f>IFERROR(MIN(X292,X293/'Asset base'!X$106),0)</f>
        <v>0</v>
      </c>
      <c r="Y295" s="164">
        <f>IFERROR(MIN(Y292,Y293/'Asset base'!Y$106),0)</f>
        <v>0</v>
      </c>
      <c r="Z295" s="164">
        <f>IFERROR(MIN(Z292,Z293/'Asset base'!Z$106),0)</f>
        <v>0</v>
      </c>
      <c r="AA295" s="164">
        <f>IFERROR(MIN(AA292,AA293/'Asset base'!AA$106),0)</f>
        <v>0</v>
      </c>
      <c r="AB295" s="164">
        <f>IFERROR(MIN(AB292,AB293/'Asset base'!AB$106),0)</f>
        <v>0</v>
      </c>
      <c r="AC295" s="164">
        <f>IFERROR(MIN(AC292,AC293/'Asset base'!AC$106),0)</f>
        <v>0</v>
      </c>
      <c r="AD295" s="164">
        <f>IFERROR(MIN(AD292,AD293/'Asset base'!AD$106),0)</f>
        <v>0</v>
      </c>
      <c r="AE295" s="164">
        <f>IFERROR(MIN(AE292,AE293/'Asset base'!AE$106),0)</f>
        <v>0</v>
      </c>
      <c r="AF295" s="164">
        <f>IFERROR(MIN(AF292,AF293/'Asset base'!AF$106),0)</f>
        <v>0</v>
      </c>
      <c r="AG295" s="164">
        <f>IFERROR(MIN(AG292,AG293/'Asset base'!AG$106),0)</f>
        <v>0</v>
      </c>
      <c r="AH295" s="164">
        <f>IFERROR(MIN(AH292,AH293/'Asset base'!AH$106),0)</f>
        <v>0</v>
      </c>
      <c r="AI295" s="164">
        <f>IFERROR(MIN(AI292,AI293/'Asset base'!AI$106),0)</f>
        <v>0</v>
      </c>
      <c r="AJ295" s="164">
        <f>IFERROR(MIN(AJ292,AJ293/'Asset base'!AJ$106),0)</f>
        <v>0</v>
      </c>
      <c r="AK295" s="164">
        <f>IFERROR(MIN(AK292,AK293/'Asset base'!AK$106),0)</f>
        <v>0</v>
      </c>
      <c r="AL295" s="164">
        <f>IFERROR(MIN(AL292,AL293/'Asset base'!AL$106),0)</f>
        <v>0</v>
      </c>
      <c r="AM295" s="164">
        <f>IFERROR(MIN(AM292,AM293/'Asset base'!AM$106),0)</f>
        <v>0</v>
      </c>
    </row>
    <row r="296" spans="1:39" outlineLevel="1">
      <c r="A296" s="100"/>
      <c r="B296" s="100"/>
      <c r="C296" s="100"/>
      <c r="D296" s="179" t="str">
        <f t="shared" si="218"/>
        <v>Software</v>
      </c>
      <c r="E296" s="165" t="str">
        <f>H592</f>
        <v>Terminal International</v>
      </c>
      <c r="F296" s="165"/>
      <c r="G296" s="165" t="s">
        <v>77</v>
      </c>
      <c r="H296" s="121"/>
      <c r="I296" s="165"/>
      <c r="J296" s="165"/>
      <c r="K296" s="305"/>
      <c r="L296" s="305"/>
      <c r="M296" s="306"/>
      <c r="N296" s="376"/>
      <c r="O296" s="197">
        <f t="shared" ref="O296:X296" si="225">SUM(O294:O295)</f>
        <v>14163.47703657801</v>
      </c>
      <c r="P296" s="164">
        <f t="shared" si="225"/>
        <v>28326.954073156019</v>
      </c>
      <c r="Q296" s="164">
        <f t="shared" si="225"/>
        <v>42490.431109734025</v>
      </c>
      <c r="R296" s="164">
        <f t="shared" si="225"/>
        <v>56653.908146312038</v>
      </c>
      <c r="S296" s="164">
        <f t="shared" si="225"/>
        <v>56653.908146312038</v>
      </c>
      <c r="T296" s="164">
        <f t="shared" si="225"/>
        <v>56653.908146312038</v>
      </c>
      <c r="U296" s="164">
        <f t="shared" si="225"/>
        <v>56653.908146312038</v>
      </c>
      <c r="V296" s="164">
        <f t="shared" si="225"/>
        <v>56653.908146312038</v>
      </c>
      <c r="W296" s="164">
        <f t="shared" si="225"/>
        <v>56653.908146312038</v>
      </c>
      <c r="X296" s="164">
        <f t="shared" si="225"/>
        <v>56653.908146312038</v>
      </c>
      <c r="Y296" s="164">
        <f>SUM(Y294:Y295)</f>
        <v>56653.908146312038</v>
      </c>
      <c r="Z296" s="164">
        <f t="shared" ref="Z296:AM296" si="226">SUM(Z294:Z295)</f>
        <v>56653.908146312038</v>
      </c>
      <c r="AA296" s="164">
        <f t="shared" si="226"/>
        <v>56653.908146312038</v>
      </c>
      <c r="AB296" s="164">
        <f t="shared" si="226"/>
        <v>56653.908146312038</v>
      </c>
      <c r="AC296" s="164">
        <f t="shared" si="226"/>
        <v>56653.908146312038</v>
      </c>
      <c r="AD296" s="164">
        <f t="shared" si="226"/>
        <v>56653.908146312038</v>
      </c>
      <c r="AE296" s="164">
        <f t="shared" si="226"/>
        <v>56653.908146312038</v>
      </c>
      <c r="AF296" s="164">
        <f t="shared" si="226"/>
        <v>56653.908146312038</v>
      </c>
      <c r="AG296" s="164">
        <f t="shared" si="226"/>
        <v>56653.908146312038</v>
      </c>
      <c r="AH296" s="164">
        <f t="shared" si="226"/>
        <v>56653.908146312038</v>
      </c>
      <c r="AI296" s="164">
        <f t="shared" si="226"/>
        <v>56653.908146312038</v>
      </c>
      <c r="AJ296" s="164">
        <f t="shared" si="226"/>
        <v>56653.908146312038</v>
      </c>
      <c r="AK296" s="164">
        <f t="shared" si="226"/>
        <v>56653.908146312038</v>
      </c>
      <c r="AL296" s="164">
        <f t="shared" si="226"/>
        <v>56653.908146312038</v>
      </c>
      <c r="AM296" s="164">
        <f t="shared" si="226"/>
        <v>56653.908146312038</v>
      </c>
    </row>
    <row r="297" spans="1:39" outlineLevel="1">
      <c r="A297" s="100"/>
      <c r="B297" s="100"/>
      <c r="C297" s="100"/>
      <c r="D297" s="179" t="str">
        <f t="shared" si="218"/>
        <v>Software</v>
      </c>
      <c r="E297" s="165" t="str">
        <f>H592</f>
        <v>Terminal International</v>
      </c>
      <c r="F297" s="165"/>
      <c r="G297" s="200" t="s">
        <v>76</v>
      </c>
      <c r="H297" s="201"/>
      <c r="I297" s="200"/>
      <c r="J297" s="200"/>
      <c r="K297" s="198">
        <f t="shared" ref="K297:S297" si="227">K293-K296</f>
        <v>0</v>
      </c>
      <c r="L297" s="198">
        <f t="shared" si="227"/>
        <v>0</v>
      </c>
      <c r="M297" s="227">
        <f>N292</f>
        <v>0</v>
      </c>
      <c r="N297" s="542">
        <f>'[7]2008-2012 Asset Mov''t Revised'!$AS$83</f>
        <v>56653.908146312038</v>
      </c>
      <c r="O297" s="198">
        <f t="shared" si="227"/>
        <v>42490.431109734025</v>
      </c>
      <c r="P297" s="198">
        <f t="shared" si="227"/>
        <v>28326.954073156019</v>
      </c>
      <c r="Q297" s="198">
        <f t="shared" si="227"/>
        <v>14163.477036578013</v>
      </c>
      <c r="R297" s="198">
        <f t="shared" si="227"/>
        <v>0</v>
      </c>
      <c r="S297" s="198">
        <f t="shared" si="227"/>
        <v>0</v>
      </c>
      <c r="T297" s="198">
        <f t="shared" ref="T297:AM297" si="228">T293-T296</f>
        <v>0</v>
      </c>
      <c r="U297" s="198">
        <f t="shared" si="228"/>
        <v>0</v>
      </c>
      <c r="V297" s="198">
        <f t="shared" si="228"/>
        <v>0</v>
      </c>
      <c r="W297" s="198">
        <f t="shared" si="228"/>
        <v>0</v>
      </c>
      <c r="X297" s="198">
        <f t="shared" si="228"/>
        <v>0</v>
      </c>
      <c r="Y297" s="198">
        <f t="shared" si="228"/>
        <v>0</v>
      </c>
      <c r="Z297" s="198">
        <f t="shared" si="228"/>
        <v>0</v>
      </c>
      <c r="AA297" s="198">
        <f t="shared" si="228"/>
        <v>0</v>
      </c>
      <c r="AB297" s="198">
        <f t="shared" si="228"/>
        <v>0</v>
      </c>
      <c r="AC297" s="198">
        <f t="shared" si="228"/>
        <v>0</v>
      </c>
      <c r="AD297" s="198">
        <f t="shared" si="228"/>
        <v>0</v>
      </c>
      <c r="AE297" s="198">
        <f t="shared" si="228"/>
        <v>0</v>
      </c>
      <c r="AF297" s="198">
        <f t="shared" si="228"/>
        <v>0</v>
      </c>
      <c r="AG297" s="198">
        <f t="shared" si="228"/>
        <v>0</v>
      </c>
      <c r="AH297" s="198">
        <f t="shared" si="228"/>
        <v>0</v>
      </c>
      <c r="AI297" s="198">
        <f t="shared" si="228"/>
        <v>0</v>
      </c>
      <c r="AJ297" s="198">
        <f t="shared" si="228"/>
        <v>0</v>
      </c>
      <c r="AK297" s="198">
        <f t="shared" si="228"/>
        <v>0</v>
      </c>
      <c r="AL297" s="198">
        <f t="shared" si="228"/>
        <v>0</v>
      </c>
      <c r="AM297" s="198">
        <f t="shared" si="228"/>
        <v>0</v>
      </c>
    </row>
    <row r="298" spans="1:39" outlineLevel="1">
      <c r="A298" s="100"/>
      <c r="B298" s="100"/>
      <c r="C298" s="100"/>
      <c r="D298" s="179"/>
      <c r="E298" s="165"/>
      <c r="F298" s="165"/>
      <c r="G298" s="165"/>
      <c r="H298" s="121"/>
      <c r="I298" s="165"/>
      <c r="J298" s="165"/>
      <c r="K298" s="164"/>
      <c r="L298" s="164"/>
      <c r="M298" s="227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</row>
    <row r="299" spans="1:39" outlineLevel="1"/>
    <row r="300" spans="1:39" outlineLevel="1"/>
    <row r="301" spans="1:39" outlineLevel="1">
      <c r="A301" s="100"/>
      <c r="B301" s="100"/>
      <c r="C301" s="100"/>
      <c r="D301" s="179"/>
      <c r="E301" s="165"/>
      <c r="F301" s="165"/>
      <c r="G301" s="213"/>
      <c r="H301" s="165"/>
      <c r="I301" s="165"/>
      <c r="J301" s="165"/>
      <c r="K301" s="165"/>
      <c r="L301" s="165"/>
      <c r="M301" s="226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5"/>
      <c r="AI301" s="165"/>
      <c r="AJ301" s="165"/>
      <c r="AK301" s="165"/>
      <c r="AL301" s="165"/>
      <c r="AM301" s="165"/>
    </row>
    <row r="302" spans="1:39" ht="15.75" outlineLevel="1">
      <c r="A302" s="100"/>
      <c r="B302" s="100"/>
      <c r="C302" s="100"/>
      <c r="D302" s="179"/>
      <c r="E302" s="165"/>
      <c r="F302" s="165"/>
      <c r="G302" s="89" t="s">
        <v>81</v>
      </c>
      <c r="H302" s="212" t="str">
        <f>H686</f>
        <v>Terminal Domestic - Jet</v>
      </c>
      <c r="I302" s="211"/>
      <c r="J302" s="210"/>
      <c r="K302" s="207"/>
      <c r="L302" s="165"/>
      <c r="M302" s="226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</row>
    <row r="303" spans="1:39" outlineLevel="1">
      <c r="A303" s="100"/>
      <c r="B303" s="100"/>
      <c r="C303" s="100"/>
      <c r="D303" s="179"/>
      <c r="E303" s="165"/>
      <c r="F303" s="165"/>
      <c r="G303" s="209"/>
      <c r="H303" s="121"/>
      <c r="I303" s="165"/>
      <c r="J303" s="165"/>
      <c r="K303" s="207"/>
      <c r="L303" s="165"/>
      <c r="M303" s="226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  <c r="AG303" s="165"/>
      <c r="AH303" s="165"/>
      <c r="AI303" s="165"/>
      <c r="AJ303" s="165"/>
      <c r="AK303" s="165"/>
      <c r="AL303" s="165"/>
      <c r="AM303" s="165"/>
    </row>
    <row r="304" spans="1:39" outlineLevel="1">
      <c r="A304" s="100"/>
      <c r="B304" s="100"/>
      <c r="C304" s="100"/>
      <c r="D304" s="179"/>
      <c r="E304" s="165"/>
      <c r="F304" s="165"/>
      <c r="G304" s="206" t="str">
        <f>G688</f>
        <v>Land</v>
      </c>
      <c r="H304" s="121"/>
      <c r="I304" s="165"/>
      <c r="J304" s="165"/>
      <c r="K304" s="207"/>
      <c r="L304" s="165"/>
      <c r="M304" s="226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  <c r="AA304" s="165"/>
      <c r="AB304" s="165"/>
      <c r="AC304" s="165"/>
      <c r="AD304" s="165"/>
      <c r="AE304" s="165"/>
      <c r="AF304" s="165"/>
      <c r="AG304" s="165"/>
      <c r="AH304" s="165"/>
      <c r="AI304" s="165"/>
      <c r="AJ304" s="165"/>
      <c r="AK304" s="165"/>
      <c r="AL304" s="165"/>
      <c r="AM304" s="165"/>
    </row>
    <row r="305" spans="1:39" outlineLevel="1">
      <c r="A305" s="100"/>
      <c r="B305" s="100"/>
      <c r="C305" s="100"/>
      <c r="D305" s="179"/>
      <c r="E305" s="165"/>
      <c r="F305" s="165"/>
      <c r="G305" s="205"/>
      <c r="H305" s="121"/>
      <c r="I305" s="165"/>
      <c r="J305" s="165"/>
      <c r="K305" s="207"/>
      <c r="L305" s="165"/>
      <c r="M305" s="226"/>
      <c r="N305" s="48"/>
      <c r="O305" s="48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  <c r="AG305" s="165"/>
      <c r="AH305" s="165"/>
      <c r="AI305" s="165"/>
      <c r="AJ305" s="165"/>
      <c r="AK305" s="165"/>
      <c r="AL305" s="165"/>
      <c r="AM305" s="165"/>
    </row>
    <row r="306" spans="1:39" outlineLevel="1">
      <c r="A306" s="100"/>
      <c r="B306" s="100"/>
      <c r="C306" s="100"/>
      <c r="D306" s="179" t="str">
        <f t="shared" ref="D306:D311" si="229">$G$500</f>
        <v>Land</v>
      </c>
      <c r="E306" s="165" t="str">
        <f>H686</f>
        <v>Terminal Domestic - Jet</v>
      </c>
      <c r="F306" s="165"/>
      <c r="G306" s="165" t="s">
        <v>80</v>
      </c>
      <c r="H306" s="121"/>
      <c r="I306" s="165"/>
      <c r="J306" s="165"/>
      <c r="K306" s="164"/>
      <c r="L306" s="164"/>
      <c r="M306" s="227"/>
      <c r="N306" s="376"/>
      <c r="O306" s="197">
        <f t="shared" ref="O306:X306" si="230">N311</f>
        <v>179071.04473881173</v>
      </c>
      <c r="P306" s="164">
        <f t="shared" si="230"/>
        <v>179071.04473881173</v>
      </c>
      <c r="Q306" s="164">
        <f t="shared" si="230"/>
        <v>179071.04473881173</v>
      </c>
      <c r="R306" s="164">
        <f t="shared" si="230"/>
        <v>179071.04473881173</v>
      </c>
      <c r="S306" s="164">
        <f t="shared" si="230"/>
        <v>179071.04473881173</v>
      </c>
      <c r="T306" s="164">
        <f t="shared" si="230"/>
        <v>179071.04473881173</v>
      </c>
      <c r="U306" s="164">
        <f t="shared" si="230"/>
        <v>179071.04473881173</v>
      </c>
      <c r="V306" s="164">
        <f t="shared" si="230"/>
        <v>179071.04473881173</v>
      </c>
      <c r="W306" s="164">
        <f t="shared" si="230"/>
        <v>179071.04473881173</v>
      </c>
      <c r="X306" s="164">
        <f t="shared" si="230"/>
        <v>179071.04473881173</v>
      </c>
      <c r="Y306" s="164">
        <f t="shared" ref="Y306:AM306" si="231">X311</f>
        <v>179071.04473881173</v>
      </c>
      <c r="Z306" s="164">
        <f t="shared" si="231"/>
        <v>179071.04473881173</v>
      </c>
      <c r="AA306" s="164">
        <f t="shared" si="231"/>
        <v>179071.04473881173</v>
      </c>
      <c r="AB306" s="164">
        <f t="shared" si="231"/>
        <v>179071.04473881173</v>
      </c>
      <c r="AC306" s="164">
        <f t="shared" si="231"/>
        <v>179071.04473881173</v>
      </c>
      <c r="AD306" s="164">
        <f t="shared" si="231"/>
        <v>179071.04473881173</v>
      </c>
      <c r="AE306" s="164">
        <f t="shared" si="231"/>
        <v>179071.04473881173</v>
      </c>
      <c r="AF306" s="164">
        <f t="shared" si="231"/>
        <v>179071.04473881173</v>
      </c>
      <c r="AG306" s="164">
        <f t="shared" si="231"/>
        <v>179071.04473881173</v>
      </c>
      <c r="AH306" s="164">
        <f t="shared" si="231"/>
        <v>179071.04473881173</v>
      </c>
      <c r="AI306" s="164">
        <f t="shared" si="231"/>
        <v>179071.04473881173</v>
      </c>
      <c r="AJ306" s="164">
        <f t="shared" si="231"/>
        <v>179071.04473881173</v>
      </c>
      <c r="AK306" s="164">
        <f t="shared" si="231"/>
        <v>179071.04473881173</v>
      </c>
      <c r="AL306" s="164">
        <f t="shared" si="231"/>
        <v>179071.04473881173</v>
      </c>
      <c r="AM306" s="164">
        <f t="shared" si="231"/>
        <v>179071.04473881173</v>
      </c>
    </row>
    <row r="307" spans="1:39" outlineLevel="1">
      <c r="A307" s="100"/>
      <c r="B307" s="100"/>
      <c r="C307" s="100"/>
      <c r="D307" s="179" t="str">
        <f t="shared" si="229"/>
        <v>Land</v>
      </c>
      <c r="E307" s="165" t="str">
        <f>H686</f>
        <v>Terminal Domestic - Jet</v>
      </c>
      <c r="F307" s="165"/>
      <c r="G307" s="165" t="s">
        <v>60</v>
      </c>
      <c r="H307" s="121"/>
      <c r="I307" s="165"/>
      <c r="J307" s="165"/>
      <c r="K307" s="303"/>
      <c r="L307" s="303"/>
      <c r="M307" s="304"/>
      <c r="N307" s="376"/>
      <c r="O307" s="197">
        <f>N311</f>
        <v>179071.04473881173</v>
      </c>
      <c r="P307" s="164">
        <f t="shared" ref="P307:X307" si="232">O307</f>
        <v>179071.04473881173</v>
      </c>
      <c r="Q307" s="164">
        <f t="shared" si="232"/>
        <v>179071.04473881173</v>
      </c>
      <c r="R307" s="164">
        <f t="shared" si="232"/>
        <v>179071.04473881173</v>
      </c>
      <c r="S307" s="164">
        <f t="shared" si="232"/>
        <v>179071.04473881173</v>
      </c>
      <c r="T307" s="164">
        <f t="shared" si="232"/>
        <v>179071.04473881173</v>
      </c>
      <c r="U307" s="164">
        <f t="shared" si="232"/>
        <v>179071.04473881173</v>
      </c>
      <c r="V307" s="164">
        <f t="shared" si="232"/>
        <v>179071.04473881173</v>
      </c>
      <c r="W307" s="164">
        <f t="shared" si="232"/>
        <v>179071.04473881173</v>
      </c>
      <c r="X307" s="164">
        <f t="shared" si="232"/>
        <v>179071.04473881173</v>
      </c>
      <c r="Y307" s="164">
        <f t="shared" ref="Y307:AM307" si="233">X307</f>
        <v>179071.04473881173</v>
      </c>
      <c r="Z307" s="164">
        <f t="shared" si="233"/>
        <v>179071.04473881173</v>
      </c>
      <c r="AA307" s="164">
        <f t="shared" si="233"/>
        <v>179071.04473881173</v>
      </c>
      <c r="AB307" s="164">
        <f t="shared" si="233"/>
        <v>179071.04473881173</v>
      </c>
      <c r="AC307" s="164">
        <f t="shared" si="233"/>
        <v>179071.04473881173</v>
      </c>
      <c r="AD307" s="164">
        <f t="shared" si="233"/>
        <v>179071.04473881173</v>
      </c>
      <c r="AE307" s="164">
        <f t="shared" si="233"/>
        <v>179071.04473881173</v>
      </c>
      <c r="AF307" s="164">
        <f t="shared" si="233"/>
        <v>179071.04473881173</v>
      </c>
      <c r="AG307" s="164">
        <f t="shared" si="233"/>
        <v>179071.04473881173</v>
      </c>
      <c r="AH307" s="164">
        <f t="shared" si="233"/>
        <v>179071.04473881173</v>
      </c>
      <c r="AI307" s="164">
        <f t="shared" si="233"/>
        <v>179071.04473881173</v>
      </c>
      <c r="AJ307" s="164">
        <f t="shared" si="233"/>
        <v>179071.04473881173</v>
      </c>
      <c r="AK307" s="164">
        <f t="shared" si="233"/>
        <v>179071.04473881173</v>
      </c>
      <c r="AL307" s="164">
        <f t="shared" si="233"/>
        <v>179071.04473881173</v>
      </c>
      <c r="AM307" s="164">
        <f t="shared" si="233"/>
        <v>179071.04473881173</v>
      </c>
    </row>
    <row r="308" spans="1:39" outlineLevel="1">
      <c r="A308" s="100"/>
      <c r="B308" s="100"/>
      <c r="C308" s="100"/>
      <c r="D308" s="179" t="str">
        <f t="shared" si="229"/>
        <v>Land</v>
      </c>
      <c r="E308" s="165" t="str">
        <f>H686</f>
        <v>Terminal Domestic - Jet</v>
      </c>
      <c r="F308" s="165"/>
      <c r="G308" s="165" t="s">
        <v>79</v>
      </c>
      <c r="H308" s="121"/>
      <c r="I308" s="165"/>
      <c r="J308" s="165"/>
      <c r="K308" s="303"/>
      <c r="L308" s="303"/>
      <c r="M308" s="202"/>
      <c r="N308" s="376"/>
      <c r="O308" s="197">
        <f t="shared" ref="O308:X308" si="234">N310</f>
        <v>0</v>
      </c>
      <c r="P308" s="164">
        <f t="shared" si="234"/>
        <v>0</v>
      </c>
      <c r="Q308" s="164">
        <f t="shared" si="234"/>
        <v>0</v>
      </c>
      <c r="R308" s="164">
        <f t="shared" si="234"/>
        <v>0</v>
      </c>
      <c r="S308" s="164">
        <f t="shared" si="234"/>
        <v>0</v>
      </c>
      <c r="T308" s="164">
        <f t="shared" si="234"/>
        <v>0</v>
      </c>
      <c r="U308" s="164">
        <f t="shared" si="234"/>
        <v>0</v>
      </c>
      <c r="V308" s="164">
        <f t="shared" si="234"/>
        <v>0</v>
      </c>
      <c r="W308" s="164">
        <f t="shared" si="234"/>
        <v>0</v>
      </c>
      <c r="X308" s="164">
        <f t="shared" si="234"/>
        <v>0</v>
      </c>
      <c r="Y308" s="164">
        <f t="shared" ref="Y308:AM308" si="235">X310</f>
        <v>0</v>
      </c>
      <c r="Z308" s="164">
        <f t="shared" si="235"/>
        <v>0</v>
      </c>
      <c r="AA308" s="164">
        <f t="shared" si="235"/>
        <v>0</v>
      </c>
      <c r="AB308" s="164">
        <f t="shared" si="235"/>
        <v>0</v>
      </c>
      <c r="AC308" s="164">
        <f t="shared" si="235"/>
        <v>0</v>
      </c>
      <c r="AD308" s="164">
        <f t="shared" si="235"/>
        <v>0</v>
      </c>
      <c r="AE308" s="164">
        <f t="shared" si="235"/>
        <v>0</v>
      </c>
      <c r="AF308" s="164">
        <f t="shared" si="235"/>
        <v>0</v>
      </c>
      <c r="AG308" s="164">
        <f t="shared" si="235"/>
        <v>0</v>
      </c>
      <c r="AH308" s="164">
        <f t="shared" si="235"/>
        <v>0</v>
      </c>
      <c r="AI308" s="164">
        <f t="shared" si="235"/>
        <v>0</v>
      </c>
      <c r="AJ308" s="164">
        <f t="shared" si="235"/>
        <v>0</v>
      </c>
      <c r="AK308" s="164">
        <f t="shared" si="235"/>
        <v>0</v>
      </c>
      <c r="AL308" s="164">
        <f t="shared" si="235"/>
        <v>0</v>
      </c>
      <c r="AM308" s="164">
        <f t="shared" si="235"/>
        <v>0</v>
      </c>
    </row>
    <row r="309" spans="1:39" outlineLevel="1">
      <c r="A309" s="100"/>
      <c r="B309" s="100"/>
      <c r="C309" s="100"/>
      <c r="D309" s="179" t="str">
        <f t="shared" si="229"/>
        <v>Land</v>
      </c>
      <c r="E309" s="165" t="str">
        <f>H686</f>
        <v>Terminal Domestic - Jet</v>
      </c>
      <c r="F309" s="165"/>
      <c r="G309" s="165" t="s">
        <v>78</v>
      </c>
      <c r="H309" s="121"/>
      <c r="I309" s="165"/>
      <c r="J309" s="165"/>
      <c r="K309" s="303"/>
      <c r="L309" s="303"/>
      <c r="M309" s="202"/>
      <c r="N309" s="376"/>
      <c r="O309" s="197">
        <f>IFERROR(MIN(O306,O307/'Asset base'!O$97),0)</f>
        <v>0</v>
      </c>
      <c r="P309" s="164">
        <f>IFERROR(MIN(P306,P307/'Asset base'!P$97),0)</f>
        <v>0</v>
      </c>
      <c r="Q309" s="164">
        <f>IFERROR(MIN(Q306,Q307/'Asset base'!Q$97),0)</f>
        <v>0</v>
      </c>
      <c r="R309" s="164">
        <f>IFERROR(MIN(R306,R307/'Asset base'!R$97),0)</f>
        <v>0</v>
      </c>
      <c r="S309" s="164">
        <f>IFERROR(MIN(S306,S307/'Asset base'!S$97),0)</f>
        <v>0</v>
      </c>
      <c r="T309" s="164">
        <f>IFERROR(MIN(T306,T307/'Asset base'!T$97),0)</f>
        <v>0</v>
      </c>
      <c r="U309" s="164">
        <f>IFERROR(MIN(U306,U307/'Asset base'!U$97),0)</f>
        <v>0</v>
      </c>
      <c r="V309" s="164">
        <f>IFERROR(MIN(V306,V307/'Asset base'!V$97),0)</f>
        <v>0</v>
      </c>
      <c r="W309" s="164">
        <f>IFERROR(MIN(W306,W307/'Asset base'!W$97),0)</f>
        <v>0</v>
      </c>
      <c r="X309" s="164">
        <f>IFERROR(MIN(X306,X307/'Asset base'!X$97),0)</f>
        <v>0</v>
      </c>
      <c r="Y309" s="164">
        <f>IFERROR(MIN(Y306,Y307/'Asset base'!Y$97),0)</f>
        <v>0</v>
      </c>
      <c r="Z309" s="164">
        <f>IFERROR(MIN(Z306,Z307/'Asset base'!Z$97),0)</f>
        <v>0</v>
      </c>
      <c r="AA309" s="164">
        <f>IFERROR(MIN(AA306,AA307/'Asset base'!AA$97),0)</f>
        <v>0</v>
      </c>
      <c r="AB309" s="164">
        <f>IFERROR(MIN(AB306,AB307/'Asset base'!AB$97),0)</f>
        <v>0</v>
      </c>
      <c r="AC309" s="164">
        <f>IFERROR(MIN(AC306,AC307/'Asset base'!AC$97),0)</f>
        <v>0</v>
      </c>
      <c r="AD309" s="164">
        <f>IFERROR(MIN(AD306,AD307/'Asset base'!AD$97),0)</f>
        <v>0</v>
      </c>
      <c r="AE309" s="164">
        <f>IFERROR(MIN(AE306,AE307/'Asset base'!AE$97),0)</f>
        <v>0</v>
      </c>
      <c r="AF309" s="164">
        <f>IFERROR(MIN(AF306,AF307/'Asset base'!AF$97),0)</f>
        <v>0</v>
      </c>
      <c r="AG309" s="164">
        <f>IFERROR(MIN(AG306,AG307/'Asset base'!AG$97),0)</f>
        <v>0</v>
      </c>
      <c r="AH309" s="164">
        <f>IFERROR(MIN(AH306,AH307/'Asset base'!AH$97),0)</f>
        <v>0</v>
      </c>
      <c r="AI309" s="164">
        <f>IFERROR(MIN(AI306,AI307/'Asset base'!AI$97),0)</f>
        <v>0</v>
      </c>
      <c r="AJ309" s="164">
        <f>IFERROR(MIN(AJ306,AJ307/'Asset base'!AJ$97),0)</f>
        <v>0</v>
      </c>
      <c r="AK309" s="164">
        <f>IFERROR(MIN(AK306,AK307/'Asset base'!AK$97),0)</f>
        <v>0</v>
      </c>
      <c r="AL309" s="164">
        <f>IFERROR(MIN(AL306,AL307/'Asset base'!AL$97),0)</f>
        <v>0</v>
      </c>
      <c r="AM309" s="164">
        <f>IFERROR(MIN(AM306,AM307/'Asset base'!AM$97),0)</f>
        <v>0</v>
      </c>
    </row>
    <row r="310" spans="1:39" outlineLevel="1">
      <c r="A310" s="100"/>
      <c r="B310" s="100"/>
      <c r="C310" s="100"/>
      <c r="D310" s="179" t="str">
        <f t="shared" si="229"/>
        <v>Land</v>
      </c>
      <c r="E310" s="165" t="str">
        <f>H686</f>
        <v>Terminal Domestic - Jet</v>
      </c>
      <c r="F310" s="165"/>
      <c r="G310" s="165" t="s">
        <v>77</v>
      </c>
      <c r="H310" s="121"/>
      <c r="I310" s="165"/>
      <c r="J310" s="165"/>
      <c r="K310" s="305"/>
      <c r="L310" s="305"/>
      <c r="M310" s="306"/>
      <c r="N310" s="376"/>
      <c r="O310" s="197">
        <f t="shared" ref="O310:X310" si="236">SUM(O308:O309)</f>
        <v>0</v>
      </c>
      <c r="P310" s="164">
        <f t="shared" si="236"/>
        <v>0</v>
      </c>
      <c r="Q310" s="164">
        <f t="shared" si="236"/>
        <v>0</v>
      </c>
      <c r="R310" s="164">
        <f t="shared" si="236"/>
        <v>0</v>
      </c>
      <c r="S310" s="164">
        <f t="shared" si="236"/>
        <v>0</v>
      </c>
      <c r="T310" s="164">
        <f t="shared" si="236"/>
        <v>0</v>
      </c>
      <c r="U310" s="164">
        <f t="shared" si="236"/>
        <v>0</v>
      </c>
      <c r="V310" s="164">
        <f t="shared" si="236"/>
        <v>0</v>
      </c>
      <c r="W310" s="164">
        <f t="shared" si="236"/>
        <v>0</v>
      </c>
      <c r="X310" s="164">
        <f t="shared" si="236"/>
        <v>0</v>
      </c>
      <c r="Y310" s="164">
        <f>SUM(Y308:Y309)</f>
        <v>0</v>
      </c>
      <c r="Z310" s="164">
        <f t="shared" ref="Z310:AM310" si="237">SUM(Z308:Z309)</f>
        <v>0</v>
      </c>
      <c r="AA310" s="164">
        <f t="shared" si="237"/>
        <v>0</v>
      </c>
      <c r="AB310" s="164">
        <f t="shared" si="237"/>
        <v>0</v>
      </c>
      <c r="AC310" s="164">
        <f t="shared" si="237"/>
        <v>0</v>
      </c>
      <c r="AD310" s="164">
        <f t="shared" si="237"/>
        <v>0</v>
      </c>
      <c r="AE310" s="164">
        <f t="shared" si="237"/>
        <v>0</v>
      </c>
      <c r="AF310" s="164">
        <f t="shared" si="237"/>
        <v>0</v>
      </c>
      <c r="AG310" s="164">
        <f t="shared" si="237"/>
        <v>0</v>
      </c>
      <c r="AH310" s="164">
        <f t="shared" si="237"/>
        <v>0</v>
      </c>
      <c r="AI310" s="164">
        <f t="shared" si="237"/>
        <v>0</v>
      </c>
      <c r="AJ310" s="164">
        <f t="shared" si="237"/>
        <v>0</v>
      </c>
      <c r="AK310" s="164">
        <f t="shared" si="237"/>
        <v>0</v>
      </c>
      <c r="AL310" s="164">
        <f t="shared" si="237"/>
        <v>0</v>
      </c>
      <c r="AM310" s="164">
        <f t="shared" si="237"/>
        <v>0</v>
      </c>
    </row>
    <row r="311" spans="1:39" outlineLevel="1">
      <c r="A311" s="100"/>
      <c r="B311" s="100"/>
      <c r="C311" s="100"/>
      <c r="D311" s="179" t="str">
        <f t="shared" si="229"/>
        <v>Land</v>
      </c>
      <c r="E311" s="165" t="str">
        <f>H686</f>
        <v>Terminal Domestic - Jet</v>
      </c>
      <c r="F311" s="165"/>
      <c r="G311" s="200" t="s">
        <v>76</v>
      </c>
      <c r="H311" s="201"/>
      <c r="I311" s="200"/>
      <c r="J311" s="200"/>
      <c r="K311" s="198">
        <f t="shared" ref="K311:S311" si="238">K307-K310</f>
        <v>0</v>
      </c>
      <c r="L311" s="198">
        <f t="shared" si="238"/>
        <v>0</v>
      </c>
      <c r="M311" s="227">
        <f>N306</f>
        <v>0</v>
      </c>
      <c r="N311" s="541">
        <f>'[7]2008-2012 Asset Mov''t Revised'!$AA$75</f>
        <v>179071.04473881173</v>
      </c>
      <c r="O311" s="199">
        <f t="shared" si="238"/>
        <v>179071.04473881173</v>
      </c>
      <c r="P311" s="198">
        <f t="shared" si="238"/>
        <v>179071.04473881173</v>
      </c>
      <c r="Q311" s="198">
        <f t="shared" si="238"/>
        <v>179071.04473881173</v>
      </c>
      <c r="R311" s="198">
        <f t="shared" si="238"/>
        <v>179071.04473881173</v>
      </c>
      <c r="S311" s="198">
        <f t="shared" si="238"/>
        <v>179071.04473881173</v>
      </c>
      <c r="T311" s="198">
        <f t="shared" ref="T311:AM311" si="239">T307-T310</f>
        <v>179071.04473881173</v>
      </c>
      <c r="U311" s="198">
        <f t="shared" si="239"/>
        <v>179071.04473881173</v>
      </c>
      <c r="V311" s="198">
        <f t="shared" si="239"/>
        <v>179071.04473881173</v>
      </c>
      <c r="W311" s="198">
        <f t="shared" si="239"/>
        <v>179071.04473881173</v>
      </c>
      <c r="X311" s="198">
        <f t="shared" si="239"/>
        <v>179071.04473881173</v>
      </c>
      <c r="Y311" s="198">
        <f t="shared" si="239"/>
        <v>179071.04473881173</v>
      </c>
      <c r="Z311" s="198">
        <f t="shared" si="239"/>
        <v>179071.04473881173</v>
      </c>
      <c r="AA311" s="198">
        <f t="shared" si="239"/>
        <v>179071.04473881173</v>
      </c>
      <c r="AB311" s="198">
        <f t="shared" si="239"/>
        <v>179071.04473881173</v>
      </c>
      <c r="AC311" s="198">
        <f t="shared" si="239"/>
        <v>179071.04473881173</v>
      </c>
      <c r="AD311" s="198">
        <f t="shared" si="239"/>
        <v>179071.04473881173</v>
      </c>
      <c r="AE311" s="198">
        <f t="shared" si="239"/>
        <v>179071.04473881173</v>
      </c>
      <c r="AF311" s="198">
        <f t="shared" si="239"/>
        <v>179071.04473881173</v>
      </c>
      <c r="AG311" s="198">
        <f t="shared" si="239"/>
        <v>179071.04473881173</v>
      </c>
      <c r="AH311" s="198">
        <f t="shared" si="239"/>
        <v>179071.04473881173</v>
      </c>
      <c r="AI311" s="198">
        <f t="shared" si="239"/>
        <v>179071.04473881173</v>
      </c>
      <c r="AJ311" s="198">
        <f t="shared" si="239"/>
        <v>179071.04473881173</v>
      </c>
      <c r="AK311" s="198">
        <f t="shared" si="239"/>
        <v>179071.04473881173</v>
      </c>
      <c r="AL311" s="198">
        <f t="shared" si="239"/>
        <v>179071.04473881173</v>
      </c>
      <c r="AM311" s="198">
        <f t="shared" si="239"/>
        <v>179071.04473881173</v>
      </c>
    </row>
    <row r="312" spans="1:39" outlineLevel="1">
      <c r="A312" s="100"/>
      <c r="B312" s="100"/>
      <c r="C312" s="100"/>
      <c r="D312" s="179"/>
      <c r="E312" s="165"/>
      <c r="F312" s="165"/>
      <c r="G312" s="165"/>
      <c r="H312" s="121"/>
      <c r="I312" s="165"/>
      <c r="J312" s="165"/>
      <c r="K312" s="164"/>
      <c r="L312" s="164"/>
      <c r="M312" s="227"/>
      <c r="N312" s="203"/>
      <c r="O312" s="197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</row>
    <row r="313" spans="1:39" outlineLevel="1">
      <c r="A313" s="100"/>
      <c r="B313" s="100"/>
      <c r="C313" s="100"/>
      <c r="D313" s="179"/>
      <c r="E313" s="165"/>
      <c r="F313" s="165"/>
      <c r="G313" s="206" t="str">
        <f>G697</f>
        <v>Buildings</v>
      </c>
      <c r="H313" s="121"/>
      <c r="I313" s="165"/>
      <c r="J313" s="165"/>
      <c r="K313" s="207"/>
      <c r="L313" s="164"/>
      <c r="M313" s="227"/>
      <c r="N313" s="203"/>
      <c r="O313" s="197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</row>
    <row r="314" spans="1:39" outlineLevel="1">
      <c r="A314" s="100"/>
      <c r="B314" s="100"/>
      <c r="C314" s="100"/>
      <c r="D314" s="179"/>
      <c r="E314" s="165"/>
      <c r="F314" s="165"/>
      <c r="G314" s="205"/>
      <c r="H314" s="121"/>
      <c r="I314" s="165"/>
      <c r="J314" s="165"/>
      <c r="K314" s="207"/>
      <c r="L314" s="164"/>
      <c r="M314" s="227"/>
      <c r="N314" s="203"/>
      <c r="O314" s="197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</row>
    <row r="315" spans="1:39" outlineLevel="1">
      <c r="A315" s="100"/>
      <c r="B315" s="100"/>
      <c r="C315" s="100"/>
      <c r="D315" s="179" t="str">
        <f t="shared" ref="D315:D320" si="240">$G$509</f>
        <v>Buildings</v>
      </c>
      <c r="E315" s="165" t="str">
        <f>H686</f>
        <v>Terminal Domestic - Jet</v>
      </c>
      <c r="F315" s="165"/>
      <c r="G315" s="165" t="s">
        <v>80</v>
      </c>
      <c r="H315" s="121"/>
      <c r="I315" s="165"/>
      <c r="J315" s="165"/>
      <c r="K315" s="164"/>
      <c r="L315" s="164"/>
      <c r="M315" s="227"/>
      <c r="N315" s="376">
        <f>[2]OUTPUT!N653</f>
        <v>0</v>
      </c>
      <c r="O315" s="197">
        <f t="shared" ref="O315:X315" si="241">N320</f>
        <v>95971.753896297174</v>
      </c>
      <c r="P315" s="164">
        <f t="shared" si="241"/>
        <v>0</v>
      </c>
      <c r="Q315" s="164">
        <f t="shared" si="241"/>
        <v>0</v>
      </c>
      <c r="R315" s="164">
        <f t="shared" si="241"/>
        <v>0</v>
      </c>
      <c r="S315" s="164">
        <f t="shared" si="241"/>
        <v>0</v>
      </c>
      <c r="T315" s="164">
        <f t="shared" si="241"/>
        <v>0</v>
      </c>
      <c r="U315" s="164">
        <f t="shared" si="241"/>
        <v>0</v>
      </c>
      <c r="V315" s="164">
        <f t="shared" si="241"/>
        <v>0</v>
      </c>
      <c r="W315" s="164">
        <f t="shared" si="241"/>
        <v>0</v>
      </c>
      <c r="X315" s="164">
        <f t="shared" si="241"/>
        <v>0</v>
      </c>
      <c r="Y315" s="164">
        <f t="shared" ref="Y315:AM315" si="242">X320</f>
        <v>0</v>
      </c>
      <c r="Z315" s="164">
        <f t="shared" si="242"/>
        <v>0</v>
      </c>
      <c r="AA315" s="164">
        <f t="shared" si="242"/>
        <v>0</v>
      </c>
      <c r="AB315" s="164">
        <f t="shared" si="242"/>
        <v>0</v>
      </c>
      <c r="AC315" s="164">
        <f t="shared" si="242"/>
        <v>0</v>
      </c>
      <c r="AD315" s="164">
        <f t="shared" si="242"/>
        <v>0</v>
      </c>
      <c r="AE315" s="164">
        <f t="shared" si="242"/>
        <v>0</v>
      </c>
      <c r="AF315" s="164">
        <f t="shared" si="242"/>
        <v>0</v>
      </c>
      <c r="AG315" s="164">
        <f t="shared" si="242"/>
        <v>0</v>
      </c>
      <c r="AH315" s="164">
        <f t="shared" si="242"/>
        <v>0</v>
      </c>
      <c r="AI315" s="164">
        <f t="shared" si="242"/>
        <v>0</v>
      </c>
      <c r="AJ315" s="164">
        <f t="shared" si="242"/>
        <v>0</v>
      </c>
      <c r="AK315" s="164">
        <f t="shared" si="242"/>
        <v>0</v>
      </c>
      <c r="AL315" s="164">
        <f t="shared" si="242"/>
        <v>0</v>
      </c>
      <c r="AM315" s="164">
        <f t="shared" si="242"/>
        <v>0</v>
      </c>
    </row>
    <row r="316" spans="1:39" outlineLevel="1">
      <c r="A316" s="100"/>
      <c r="B316" s="100"/>
      <c r="C316" s="100"/>
      <c r="D316" s="179" t="str">
        <f t="shared" si="240"/>
        <v>Buildings</v>
      </c>
      <c r="E316" s="165" t="str">
        <f>H686</f>
        <v>Terminal Domestic - Jet</v>
      </c>
      <c r="F316" s="165"/>
      <c r="G316" s="165" t="s">
        <v>60</v>
      </c>
      <c r="H316" s="121"/>
      <c r="I316" s="165"/>
      <c r="J316" s="165"/>
      <c r="K316" s="303"/>
      <c r="L316" s="303"/>
      <c r="M316" s="304"/>
      <c r="N316" s="376">
        <f>[2]OUTPUT!N654</f>
        <v>0</v>
      </c>
      <c r="O316" s="197">
        <f t="shared" ref="O316:X316" si="243">N316</f>
        <v>0</v>
      </c>
      <c r="P316" s="164">
        <f t="shared" si="243"/>
        <v>0</v>
      </c>
      <c r="Q316" s="164">
        <f t="shared" si="243"/>
        <v>0</v>
      </c>
      <c r="R316" s="164">
        <f t="shared" si="243"/>
        <v>0</v>
      </c>
      <c r="S316" s="164">
        <f t="shared" si="243"/>
        <v>0</v>
      </c>
      <c r="T316" s="164">
        <f t="shared" si="243"/>
        <v>0</v>
      </c>
      <c r="U316" s="164">
        <f t="shared" si="243"/>
        <v>0</v>
      </c>
      <c r="V316" s="164">
        <f t="shared" si="243"/>
        <v>0</v>
      </c>
      <c r="W316" s="164">
        <f t="shared" si="243"/>
        <v>0</v>
      </c>
      <c r="X316" s="164">
        <f t="shared" si="243"/>
        <v>0</v>
      </c>
      <c r="Y316" s="164">
        <f t="shared" ref="Y316:AM316" si="244">X316</f>
        <v>0</v>
      </c>
      <c r="Z316" s="164">
        <f t="shared" si="244"/>
        <v>0</v>
      </c>
      <c r="AA316" s="164">
        <f t="shared" si="244"/>
        <v>0</v>
      </c>
      <c r="AB316" s="164">
        <f t="shared" si="244"/>
        <v>0</v>
      </c>
      <c r="AC316" s="164">
        <f t="shared" si="244"/>
        <v>0</v>
      </c>
      <c r="AD316" s="164">
        <f t="shared" si="244"/>
        <v>0</v>
      </c>
      <c r="AE316" s="164">
        <f t="shared" si="244"/>
        <v>0</v>
      </c>
      <c r="AF316" s="164">
        <f t="shared" si="244"/>
        <v>0</v>
      </c>
      <c r="AG316" s="164">
        <f t="shared" si="244"/>
        <v>0</v>
      </c>
      <c r="AH316" s="164">
        <f t="shared" si="244"/>
        <v>0</v>
      </c>
      <c r="AI316" s="164">
        <f t="shared" si="244"/>
        <v>0</v>
      </c>
      <c r="AJ316" s="164">
        <f t="shared" si="244"/>
        <v>0</v>
      </c>
      <c r="AK316" s="164">
        <f t="shared" si="244"/>
        <v>0</v>
      </c>
      <c r="AL316" s="164">
        <f t="shared" si="244"/>
        <v>0</v>
      </c>
      <c r="AM316" s="164">
        <f t="shared" si="244"/>
        <v>0</v>
      </c>
    </row>
    <row r="317" spans="1:39" outlineLevel="1">
      <c r="A317" s="100"/>
      <c r="B317" s="100"/>
      <c r="C317" s="100"/>
      <c r="D317" s="179" t="str">
        <f t="shared" si="240"/>
        <v>Buildings</v>
      </c>
      <c r="E317" s="165" t="str">
        <f>H686</f>
        <v>Terminal Domestic - Jet</v>
      </c>
      <c r="F317" s="165"/>
      <c r="G317" s="165" t="s">
        <v>79</v>
      </c>
      <c r="H317" s="121"/>
      <c r="I317" s="165"/>
      <c r="J317" s="164"/>
      <c r="K317" s="303"/>
      <c r="L317" s="303"/>
      <c r="M317" s="202"/>
      <c r="N317" s="376">
        <f>[2]OUTPUT!N655</f>
        <v>0</v>
      </c>
      <c r="O317" s="197">
        <f t="shared" ref="O317:X317" si="245">N319</f>
        <v>0</v>
      </c>
      <c r="P317" s="164">
        <f t="shared" si="245"/>
        <v>0</v>
      </c>
      <c r="Q317" s="164">
        <f t="shared" si="245"/>
        <v>0</v>
      </c>
      <c r="R317" s="164">
        <f t="shared" si="245"/>
        <v>0</v>
      </c>
      <c r="S317" s="164">
        <f t="shared" si="245"/>
        <v>0</v>
      </c>
      <c r="T317" s="164">
        <f t="shared" si="245"/>
        <v>0</v>
      </c>
      <c r="U317" s="164">
        <f t="shared" si="245"/>
        <v>0</v>
      </c>
      <c r="V317" s="164">
        <f t="shared" si="245"/>
        <v>0</v>
      </c>
      <c r="W317" s="164">
        <f t="shared" si="245"/>
        <v>0</v>
      </c>
      <c r="X317" s="164">
        <f t="shared" si="245"/>
        <v>0</v>
      </c>
      <c r="Y317" s="164">
        <f t="shared" ref="Y317:AM317" si="246">X319</f>
        <v>0</v>
      </c>
      <c r="Z317" s="164">
        <f t="shared" si="246"/>
        <v>0</v>
      </c>
      <c r="AA317" s="164">
        <f t="shared" si="246"/>
        <v>0</v>
      </c>
      <c r="AB317" s="164">
        <f t="shared" si="246"/>
        <v>0</v>
      </c>
      <c r="AC317" s="164">
        <f t="shared" si="246"/>
        <v>0</v>
      </c>
      <c r="AD317" s="164">
        <f t="shared" si="246"/>
        <v>0</v>
      </c>
      <c r="AE317" s="164">
        <f t="shared" si="246"/>
        <v>0</v>
      </c>
      <c r="AF317" s="164">
        <f t="shared" si="246"/>
        <v>0</v>
      </c>
      <c r="AG317" s="164">
        <f t="shared" si="246"/>
        <v>0</v>
      </c>
      <c r="AH317" s="164">
        <f t="shared" si="246"/>
        <v>0</v>
      </c>
      <c r="AI317" s="164">
        <f t="shared" si="246"/>
        <v>0</v>
      </c>
      <c r="AJ317" s="164">
        <f t="shared" si="246"/>
        <v>0</v>
      </c>
      <c r="AK317" s="164">
        <f t="shared" si="246"/>
        <v>0</v>
      </c>
      <c r="AL317" s="164">
        <f t="shared" si="246"/>
        <v>0</v>
      </c>
      <c r="AM317" s="164">
        <f t="shared" si="246"/>
        <v>0</v>
      </c>
    </row>
    <row r="318" spans="1:39" outlineLevel="1">
      <c r="A318" s="100"/>
      <c r="B318" s="100"/>
      <c r="C318" s="100"/>
      <c r="D318" s="179" t="str">
        <f t="shared" si="240"/>
        <v>Buildings</v>
      </c>
      <c r="E318" s="165" t="str">
        <f>H686</f>
        <v>Terminal Domestic - Jet</v>
      </c>
      <c r="F318" s="165"/>
      <c r="G318" s="165" t="s">
        <v>78</v>
      </c>
      <c r="H318" s="121"/>
      <c r="I318" s="165"/>
      <c r="J318" s="165"/>
      <c r="K318" s="303"/>
      <c r="L318" s="303"/>
      <c r="M318" s="202"/>
      <c r="N318" s="376">
        <f>[2]OUTPUT!N656</f>
        <v>0</v>
      </c>
      <c r="O318" s="197">
        <f>IFERROR(MIN(O315,O316/'Asset base'!O$98),0)</f>
        <v>0</v>
      </c>
      <c r="P318" s="164">
        <f>IFERROR(MIN(P315,P316/'Asset base'!P$98),0)</f>
        <v>0</v>
      </c>
      <c r="Q318" s="164">
        <f>IFERROR(MIN(Q315,Q316/'Asset base'!Q$98),0)</f>
        <v>0</v>
      </c>
      <c r="R318" s="164">
        <f>IFERROR(MIN(R315,R316/'Asset base'!R$98),0)</f>
        <v>0</v>
      </c>
      <c r="S318" s="164">
        <f>IFERROR(MIN(S315,S316/'Asset base'!S$98),0)</f>
        <v>0</v>
      </c>
      <c r="T318" s="164">
        <f>IFERROR(MIN(T315,T316/'Asset base'!T$98),0)</f>
        <v>0</v>
      </c>
      <c r="U318" s="164">
        <f>IFERROR(MIN(U315,U316/'Asset base'!U$98),0)</f>
        <v>0</v>
      </c>
      <c r="V318" s="164">
        <f>IFERROR(MIN(V315,V316/'Asset base'!V$98),0)</f>
        <v>0</v>
      </c>
      <c r="W318" s="164">
        <f>IFERROR(MIN(W315,W316/'Asset base'!W$98),0)</f>
        <v>0</v>
      </c>
      <c r="X318" s="164">
        <f>IFERROR(MIN(X315,X316/'Asset base'!X$98),0)</f>
        <v>0</v>
      </c>
      <c r="Y318" s="164">
        <f>IFERROR(MIN(Y315,Y316/'Asset base'!Y$98),0)</f>
        <v>0</v>
      </c>
      <c r="Z318" s="164">
        <f>IFERROR(MIN(Z315,Z316/'Asset base'!Z$98),0)</f>
        <v>0</v>
      </c>
      <c r="AA318" s="164">
        <f>IFERROR(MIN(AA315,AA316/'Asset base'!AA$98),0)</f>
        <v>0</v>
      </c>
      <c r="AB318" s="164">
        <f>IFERROR(MIN(AB315,AB316/'Asset base'!AB$98),0)</f>
        <v>0</v>
      </c>
      <c r="AC318" s="164">
        <f>IFERROR(MIN(AC315,AC316/'Asset base'!AC$98),0)</f>
        <v>0</v>
      </c>
      <c r="AD318" s="164">
        <f>IFERROR(MIN(AD315,AD316/'Asset base'!AD$98),0)</f>
        <v>0</v>
      </c>
      <c r="AE318" s="164">
        <f>IFERROR(MIN(AE315,AE316/'Asset base'!AE$98),0)</f>
        <v>0</v>
      </c>
      <c r="AF318" s="164">
        <f>IFERROR(MIN(AF315,AF316/'Asset base'!AF$98),0)</f>
        <v>0</v>
      </c>
      <c r="AG318" s="164">
        <f>IFERROR(MIN(AG315,AG316/'Asset base'!AG$98),0)</f>
        <v>0</v>
      </c>
      <c r="AH318" s="164">
        <f>IFERROR(MIN(AH315,AH316/'Asset base'!AH$98),0)</f>
        <v>0</v>
      </c>
      <c r="AI318" s="164">
        <f>IFERROR(MIN(AI315,AI316/'Asset base'!AI$98),0)</f>
        <v>0</v>
      </c>
      <c r="AJ318" s="164">
        <f>IFERROR(MIN(AJ315,AJ316/'Asset base'!AJ$98),0)</f>
        <v>0</v>
      </c>
      <c r="AK318" s="164">
        <f>IFERROR(MIN(AK315,AK316/'Asset base'!AK$98),0)</f>
        <v>0</v>
      </c>
      <c r="AL318" s="164">
        <f>IFERROR(MIN(AL315,AL316/'Asset base'!AL$98),0)</f>
        <v>0</v>
      </c>
      <c r="AM318" s="164">
        <f>IFERROR(MIN(AM315,AM316/'Asset base'!AM$98),0)</f>
        <v>0</v>
      </c>
    </row>
    <row r="319" spans="1:39" outlineLevel="1">
      <c r="A319" s="100"/>
      <c r="B319" s="100"/>
      <c r="C319" s="100"/>
      <c r="D319" s="179" t="str">
        <f t="shared" si="240"/>
        <v>Buildings</v>
      </c>
      <c r="E319" s="165" t="str">
        <f>H686</f>
        <v>Terminal Domestic - Jet</v>
      </c>
      <c r="F319" s="165"/>
      <c r="G319" s="165" t="s">
        <v>77</v>
      </c>
      <c r="H319" s="121"/>
      <c r="I319" s="165"/>
      <c r="J319" s="165"/>
      <c r="K319" s="305"/>
      <c r="L319" s="305"/>
      <c r="M319" s="306"/>
      <c r="N319" s="376">
        <f>[2]OUTPUT!N657</f>
        <v>0</v>
      </c>
      <c r="O319" s="197">
        <f t="shared" ref="O319:X319" si="247">SUM(O317:O318)</f>
        <v>0</v>
      </c>
      <c r="P319" s="164">
        <f t="shared" si="247"/>
        <v>0</v>
      </c>
      <c r="Q319" s="164">
        <f t="shared" si="247"/>
        <v>0</v>
      </c>
      <c r="R319" s="164">
        <f t="shared" si="247"/>
        <v>0</v>
      </c>
      <c r="S319" s="164">
        <f t="shared" si="247"/>
        <v>0</v>
      </c>
      <c r="T319" s="164">
        <f t="shared" si="247"/>
        <v>0</v>
      </c>
      <c r="U319" s="164">
        <f t="shared" si="247"/>
        <v>0</v>
      </c>
      <c r="V319" s="164">
        <f t="shared" si="247"/>
        <v>0</v>
      </c>
      <c r="W319" s="164">
        <f t="shared" si="247"/>
        <v>0</v>
      </c>
      <c r="X319" s="164">
        <f t="shared" si="247"/>
        <v>0</v>
      </c>
      <c r="Y319" s="164">
        <f>SUM(Y317:Y318)</f>
        <v>0</v>
      </c>
      <c r="Z319" s="164">
        <f t="shared" ref="Z319:AM319" si="248">SUM(Z317:Z318)</f>
        <v>0</v>
      </c>
      <c r="AA319" s="164">
        <f t="shared" si="248"/>
        <v>0</v>
      </c>
      <c r="AB319" s="164">
        <f t="shared" si="248"/>
        <v>0</v>
      </c>
      <c r="AC319" s="164">
        <f t="shared" si="248"/>
        <v>0</v>
      </c>
      <c r="AD319" s="164">
        <f t="shared" si="248"/>
        <v>0</v>
      </c>
      <c r="AE319" s="164">
        <f t="shared" si="248"/>
        <v>0</v>
      </c>
      <c r="AF319" s="164">
        <f t="shared" si="248"/>
        <v>0</v>
      </c>
      <c r="AG319" s="164">
        <f t="shared" si="248"/>
        <v>0</v>
      </c>
      <c r="AH319" s="164">
        <f t="shared" si="248"/>
        <v>0</v>
      </c>
      <c r="AI319" s="164">
        <f t="shared" si="248"/>
        <v>0</v>
      </c>
      <c r="AJ319" s="164">
        <f t="shared" si="248"/>
        <v>0</v>
      </c>
      <c r="AK319" s="164">
        <f t="shared" si="248"/>
        <v>0</v>
      </c>
      <c r="AL319" s="164">
        <f t="shared" si="248"/>
        <v>0</v>
      </c>
      <c r="AM319" s="164">
        <f t="shared" si="248"/>
        <v>0</v>
      </c>
    </row>
    <row r="320" spans="1:39" outlineLevel="1">
      <c r="A320" s="100"/>
      <c r="B320" s="100"/>
      <c r="C320" s="100"/>
      <c r="D320" s="179" t="str">
        <f t="shared" si="240"/>
        <v>Buildings</v>
      </c>
      <c r="E320" s="165" t="str">
        <f>H686</f>
        <v>Terminal Domestic - Jet</v>
      </c>
      <c r="F320" s="165"/>
      <c r="G320" s="200" t="s">
        <v>76</v>
      </c>
      <c r="H320" s="201"/>
      <c r="I320" s="200"/>
      <c r="J320" s="200"/>
      <c r="K320" s="198">
        <f t="shared" ref="K320:S320" si="249">K316-K319</f>
        <v>0</v>
      </c>
      <c r="L320" s="198">
        <f t="shared" si="249"/>
        <v>0</v>
      </c>
      <c r="M320" s="227">
        <f>N315</f>
        <v>0</v>
      </c>
      <c r="N320" s="541">
        <f>'[7]2008-2012 Asset Mov''t Revised'!$AA$76</f>
        <v>95971.753896297174</v>
      </c>
      <c r="O320" s="199">
        <f t="shared" si="249"/>
        <v>0</v>
      </c>
      <c r="P320" s="198">
        <f t="shared" si="249"/>
        <v>0</v>
      </c>
      <c r="Q320" s="198">
        <f t="shared" si="249"/>
        <v>0</v>
      </c>
      <c r="R320" s="198">
        <f t="shared" si="249"/>
        <v>0</v>
      </c>
      <c r="S320" s="198">
        <f t="shared" si="249"/>
        <v>0</v>
      </c>
      <c r="T320" s="198">
        <f t="shared" ref="T320:AM320" si="250">T316-T319</f>
        <v>0</v>
      </c>
      <c r="U320" s="198">
        <f t="shared" si="250"/>
        <v>0</v>
      </c>
      <c r="V320" s="198">
        <f t="shared" si="250"/>
        <v>0</v>
      </c>
      <c r="W320" s="198">
        <f t="shared" si="250"/>
        <v>0</v>
      </c>
      <c r="X320" s="198">
        <f t="shared" si="250"/>
        <v>0</v>
      </c>
      <c r="Y320" s="198">
        <f t="shared" si="250"/>
        <v>0</v>
      </c>
      <c r="Z320" s="198">
        <f t="shared" si="250"/>
        <v>0</v>
      </c>
      <c r="AA320" s="198">
        <f t="shared" si="250"/>
        <v>0</v>
      </c>
      <c r="AB320" s="198">
        <f t="shared" si="250"/>
        <v>0</v>
      </c>
      <c r="AC320" s="198">
        <f t="shared" si="250"/>
        <v>0</v>
      </c>
      <c r="AD320" s="198">
        <f t="shared" si="250"/>
        <v>0</v>
      </c>
      <c r="AE320" s="198">
        <f t="shared" si="250"/>
        <v>0</v>
      </c>
      <c r="AF320" s="198">
        <f t="shared" si="250"/>
        <v>0</v>
      </c>
      <c r="AG320" s="198">
        <f t="shared" si="250"/>
        <v>0</v>
      </c>
      <c r="AH320" s="198">
        <f t="shared" si="250"/>
        <v>0</v>
      </c>
      <c r="AI320" s="198">
        <f t="shared" si="250"/>
        <v>0</v>
      </c>
      <c r="AJ320" s="198">
        <f t="shared" si="250"/>
        <v>0</v>
      </c>
      <c r="AK320" s="198">
        <f t="shared" si="250"/>
        <v>0</v>
      </c>
      <c r="AL320" s="198">
        <f t="shared" si="250"/>
        <v>0</v>
      </c>
      <c r="AM320" s="198">
        <f t="shared" si="250"/>
        <v>0</v>
      </c>
    </row>
    <row r="321" spans="1:39" outlineLevel="1">
      <c r="A321" s="100"/>
      <c r="B321" s="100"/>
      <c r="C321" s="100"/>
      <c r="D321" s="179"/>
      <c r="E321" s="165"/>
      <c r="F321" s="165"/>
      <c r="G321" s="205"/>
      <c r="H321" s="121"/>
      <c r="I321" s="165"/>
      <c r="J321" s="165"/>
      <c r="K321" s="207"/>
      <c r="L321" s="207"/>
      <c r="M321" s="228"/>
      <c r="N321" s="203"/>
      <c r="O321" s="204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  <c r="AA321" s="207"/>
      <c r="AB321" s="207"/>
      <c r="AC321" s="207"/>
      <c r="AD321" s="207"/>
      <c r="AE321" s="207"/>
      <c r="AF321" s="207"/>
      <c r="AG321" s="207"/>
      <c r="AH321" s="207"/>
      <c r="AI321" s="207"/>
      <c r="AJ321" s="207"/>
      <c r="AK321" s="207"/>
      <c r="AL321" s="207"/>
      <c r="AM321" s="207"/>
    </row>
    <row r="322" spans="1:39" outlineLevel="1">
      <c r="A322" s="100"/>
      <c r="B322" s="100"/>
      <c r="C322" s="100"/>
      <c r="D322" s="179"/>
      <c r="E322" s="165"/>
      <c r="F322" s="165"/>
      <c r="G322" s="206" t="str">
        <f>G706</f>
        <v>Computers &amp; Furniture</v>
      </c>
      <c r="H322" s="121"/>
      <c r="I322" s="165"/>
      <c r="J322" s="165"/>
      <c r="K322" s="207"/>
      <c r="L322" s="164"/>
      <c r="M322" s="227"/>
      <c r="N322" s="203"/>
      <c r="O322" s="197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  <c r="AG322" s="165"/>
      <c r="AH322" s="165"/>
      <c r="AI322" s="165"/>
      <c r="AJ322" s="165"/>
      <c r="AK322" s="165"/>
      <c r="AL322" s="165"/>
      <c r="AM322" s="165"/>
    </row>
    <row r="323" spans="1:39" outlineLevel="1">
      <c r="A323" s="100"/>
      <c r="B323" s="100"/>
      <c r="C323" s="100"/>
      <c r="D323" s="179"/>
      <c r="E323" s="165"/>
      <c r="F323" s="165"/>
      <c r="G323" s="205"/>
      <c r="H323" s="121"/>
      <c r="I323" s="165"/>
      <c r="J323" s="165"/>
      <c r="K323" s="207"/>
      <c r="L323" s="164"/>
      <c r="M323" s="227"/>
      <c r="N323" s="203"/>
      <c r="O323" s="197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  <c r="AA323" s="165"/>
      <c r="AB323" s="165"/>
      <c r="AC323" s="165"/>
      <c r="AD323" s="165"/>
      <c r="AE323" s="165"/>
      <c r="AF323" s="165"/>
      <c r="AG323" s="165"/>
      <c r="AH323" s="165"/>
      <c r="AI323" s="165"/>
      <c r="AJ323" s="165"/>
      <c r="AK323" s="165"/>
      <c r="AL323" s="165"/>
      <c r="AM323" s="165"/>
    </row>
    <row r="324" spans="1:39" outlineLevel="1">
      <c r="A324" s="100"/>
      <c r="B324" s="100"/>
      <c r="C324" s="100"/>
      <c r="D324" s="179" t="str">
        <f t="shared" ref="D324:D329" si="251">$G$518</f>
        <v>Computers &amp; Furniture</v>
      </c>
      <c r="E324" s="165" t="str">
        <f>H686</f>
        <v>Terminal Domestic - Jet</v>
      </c>
      <c r="F324" s="165"/>
      <c r="G324" s="165" t="s">
        <v>80</v>
      </c>
      <c r="H324" s="121"/>
      <c r="I324" s="165"/>
      <c r="J324" s="165"/>
      <c r="K324" s="164"/>
      <c r="L324" s="164"/>
      <c r="M324" s="227"/>
      <c r="N324" s="376"/>
      <c r="O324" s="197">
        <f t="shared" ref="O324:X324" si="252">N329</f>
        <v>535155.67343262036</v>
      </c>
      <c r="P324" s="164">
        <f t="shared" si="252"/>
        <v>428124.53874609631</v>
      </c>
      <c r="Q324" s="164">
        <f t="shared" si="252"/>
        <v>321093.4040595722</v>
      </c>
      <c r="R324" s="164">
        <f t="shared" si="252"/>
        <v>214062.2693730481</v>
      </c>
      <c r="S324" s="164">
        <f t="shared" si="252"/>
        <v>107031.13468652405</v>
      </c>
      <c r="T324" s="164">
        <f t="shared" si="252"/>
        <v>0</v>
      </c>
      <c r="U324" s="164">
        <f t="shared" si="252"/>
        <v>0</v>
      </c>
      <c r="V324" s="164">
        <f t="shared" si="252"/>
        <v>0</v>
      </c>
      <c r="W324" s="164">
        <f t="shared" si="252"/>
        <v>0</v>
      </c>
      <c r="X324" s="164">
        <f t="shared" si="252"/>
        <v>0</v>
      </c>
      <c r="Y324" s="164">
        <f t="shared" ref="Y324:AM324" si="253">X329</f>
        <v>0</v>
      </c>
      <c r="Z324" s="164">
        <f t="shared" si="253"/>
        <v>0</v>
      </c>
      <c r="AA324" s="164">
        <f t="shared" si="253"/>
        <v>0</v>
      </c>
      <c r="AB324" s="164">
        <f t="shared" si="253"/>
        <v>0</v>
      </c>
      <c r="AC324" s="164">
        <f t="shared" si="253"/>
        <v>0</v>
      </c>
      <c r="AD324" s="164">
        <f t="shared" si="253"/>
        <v>0</v>
      </c>
      <c r="AE324" s="164">
        <f t="shared" si="253"/>
        <v>0</v>
      </c>
      <c r="AF324" s="164">
        <f t="shared" si="253"/>
        <v>0</v>
      </c>
      <c r="AG324" s="164">
        <f t="shared" si="253"/>
        <v>0</v>
      </c>
      <c r="AH324" s="164">
        <f t="shared" si="253"/>
        <v>0</v>
      </c>
      <c r="AI324" s="164">
        <f t="shared" si="253"/>
        <v>0</v>
      </c>
      <c r="AJ324" s="164">
        <f t="shared" si="253"/>
        <v>0</v>
      </c>
      <c r="AK324" s="164">
        <f t="shared" si="253"/>
        <v>0</v>
      </c>
      <c r="AL324" s="164">
        <f t="shared" si="253"/>
        <v>0</v>
      </c>
      <c r="AM324" s="164">
        <f t="shared" si="253"/>
        <v>0</v>
      </c>
    </row>
    <row r="325" spans="1:39" outlineLevel="1">
      <c r="A325" s="100"/>
      <c r="B325" s="100"/>
      <c r="C325" s="100"/>
      <c r="D325" s="179" t="str">
        <f t="shared" si="251"/>
        <v>Computers &amp; Furniture</v>
      </c>
      <c r="E325" s="165" t="str">
        <f>H686</f>
        <v>Terminal Domestic - Jet</v>
      </c>
      <c r="F325" s="165"/>
      <c r="G325" s="165" t="s">
        <v>60</v>
      </c>
      <c r="H325" s="121"/>
      <c r="I325" s="165"/>
      <c r="J325" s="165"/>
      <c r="K325" s="303"/>
      <c r="L325" s="303"/>
      <c r="M325" s="304"/>
      <c r="N325" s="376"/>
      <c r="O325" s="197">
        <f>N329</f>
        <v>535155.67343262036</v>
      </c>
      <c r="P325" s="164">
        <f t="shared" ref="P325:X325" si="254">O325</f>
        <v>535155.67343262036</v>
      </c>
      <c r="Q325" s="164">
        <f t="shared" si="254"/>
        <v>535155.67343262036</v>
      </c>
      <c r="R325" s="164">
        <f t="shared" si="254"/>
        <v>535155.67343262036</v>
      </c>
      <c r="S325" s="164">
        <f t="shared" si="254"/>
        <v>535155.67343262036</v>
      </c>
      <c r="T325" s="164">
        <f t="shared" si="254"/>
        <v>535155.67343262036</v>
      </c>
      <c r="U325" s="164">
        <f t="shared" si="254"/>
        <v>535155.67343262036</v>
      </c>
      <c r="V325" s="164">
        <f t="shared" si="254"/>
        <v>535155.67343262036</v>
      </c>
      <c r="W325" s="164">
        <f t="shared" si="254"/>
        <v>535155.67343262036</v>
      </c>
      <c r="X325" s="164">
        <f t="shared" si="254"/>
        <v>535155.67343262036</v>
      </c>
      <c r="Y325" s="164">
        <f t="shared" ref="Y325:AM325" si="255">X325</f>
        <v>535155.67343262036</v>
      </c>
      <c r="Z325" s="164">
        <f t="shared" si="255"/>
        <v>535155.67343262036</v>
      </c>
      <c r="AA325" s="164">
        <f t="shared" si="255"/>
        <v>535155.67343262036</v>
      </c>
      <c r="AB325" s="164">
        <f t="shared" si="255"/>
        <v>535155.67343262036</v>
      </c>
      <c r="AC325" s="164">
        <f t="shared" si="255"/>
        <v>535155.67343262036</v>
      </c>
      <c r="AD325" s="164">
        <f t="shared" si="255"/>
        <v>535155.67343262036</v>
      </c>
      <c r="AE325" s="164">
        <f t="shared" si="255"/>
        <v>535155.67343262036</v>
      </c>
      <c r="AF325" s="164">
        <f t="shared" si="255"/>
        <v>535155.67343262036</v>
      </c>
      <c r="AG325" s="164">
        <f t="shared" si="255"/>
        <v>535155.67343262036</v>
      </c>
      <c r="AH325" s="164">
        <f t="shared" si="255"/>
        <v>535155.67343262036</v>
      </c>
      <c r="AI325" s="164">
        <f t="shared" si="255"/>
        <v>535155.67343262036</v>
      </c>
      <c r="AJ325" s="164">
        <f t="shared" si="255"/>
        <v>535155.67343262036</v>
      </c>
      <c r="AK325" s="164">
        <f t="shared" si="255"/>
        <v>535155.67343262036</v>
      </c>
      <c r="AL325" s="164">
        <f t="shared" si="255"/>
        <v>535155.67343262036</v>
      </c>
      <c r="AM325" s="164">
        <f t="shared" si="255"/>
        <v>535155.67343262036</v>
      </c>
    </row>
    <row r="326" spans="1:39" outlineLevel="1">
      <c r="A326" s="100"/>
      <c r="B326" s="100"/>
      <c r="C326" s="100"/>
      <c r="D326" s="179" t="str">
        <f t="shared" si="251"/>
        <v>Computers &amp; Furniture</v>
      </c>
      <c r="E326" s="165" t="str">
        <f>H686</f>
        <v>Terminal Domestic - Jet</v>
      </c>
      <c r="F326" s="165"/>
      <c r="G326" s="165" t="s">
        <v>79</v>
      </c>
      <c r="H326" s="121"/>
      <c r="I326" s="165"/>
      <c r="J326" s="165"/>
      <c r="K326" s="303"/>
      <c r="L326" s="303"/>
      <c r="M326" s="202"/>
      <c r="N326" s="376"/>
      <c r="O326" s="197">
        <f t="shared" ref="O326:X326" si="256">N328</f>
        <v>0</v>
      </c>
      <c r="P326" s="164">
        <f t="shared" si="256"/>
        <v>107031.13468652408</v>
      </c>
      <c r="Q326" s="164">
        <f t="shared" si="256"/>
        <v>214062.26937304816</v>
      </c>
      <c r="R326" s="164">
        <f t="shared" si="256"/>
        <v>321093.40405957226</v>
      </c>
      <c r="S326" s="164">
        <f t="shared" si="256"/>
        <v>428124.53874609631</v>
      </c>
      <c r="T326" s="164">
        <f t="shared" si="256"/>
        <v>535155.67343262036</v>
      </c>
      <c r="U326" s="164">
        <f t="shared" si="256"/>
        <v>535155.67343262036</v>
      </c>
      <c r="V326" s="164">
        <f t="shared" si="256"/>
        <v>535155.67343262036</v>
      </c>
      <c r="W326" s="164">
        <f t="shared" si="256"/>
        <v>535155.67343262036</v>
      </c>
      <c r="X326" s="164">
        <f t="shared" si="256"/>
        <v>535155.67343262036</v>
      </c>
      <c r="Y326" s="164">
        <f t="shared" ref="Y326:AM326" si="257">X328</f>
        <v>535155.67343262036</v>
      </c>
      <c r="Z326" s="164">
        <f t="shared" si="257"/>
        <v>535155.67343262036</v>
      </c>
      <c r="AA326" s="164">
        <f t="shared" si="257"/>
        <v>535155.67343262036</v>
      </c>
      <c r="AB326" s="164">
        <f t="shared" si="257"/>
        <v>535155.67343262036</v>
      </c>
      <c r="AC326" s="164">
        <f t="shared" si="257"/>
        <v>535155.67343262036</v>
      </c>
      <c r="AD326" s="164">
        <f t="shared" si="257"/>
        <v>535155.67343262036</v>
      </c>
      <c r="AE326" s="164">
        <f t="shared" si="257"/>
        <v>535155.67343262036</v>
      </c>
      <c r="AF326" s="164">
        <f t="shared" si="257"/>
        <v>535155.67343262036</v>
      </c>
      <c r="AG326" s="164">
        <f t="shared" si="257"/>
        <v>535155.67343262036</v>
      </c>
      <c r="AH326" s="164">
        <f t="shared" si="257"/>
        <v>535155.67343262036</v>
      </c>
      <c r="AI326" s="164">
        <f t="shared" si="257"/>
        <v>535155.67343262036</v>
      </c>
      <c r="AJ326" s="164">
        <f t="shared" si="257"/>
        <v>535155.67343262036</v>
      </c>
      <c r="AK326" s="164">
        <f t="shared" si="257"/>
        <v>535155.67343262036</v>
      </c>
      <c r="AL326" s="164">
        <f t="shared" si="257"/>
        <v>535155.67343262036</v>
      </c>
      <c r="AM326" s="164">
        <f t="shared" si="257"/>
        <v>535155.67343262036</v>
      </c>
    </row>
    <row r="327" spans="1:39" outlineLevel="1">
      <c r="A327" s="100"/>
      <c r="B327" s="100"/>
      <c r="C327" s="100"/>
      <c r="D327" s="179" t="str">
        <f t="shared" si="251"/>
        <v>Computers &amp; Furniture</v>
      </c>
      <c r="E327" s="165" t="str">
        <f>H686</f>
        <v>Terminal Domestic - Jet</v>
      </c>
      <c r="F327" s="165"/>
      <c r="G327" s="165" t="s">
        <v>78</v>
      </c>
      <c r="H327" s="121"/>
      <c r="I327" s="165"/>
      <c r="J327" s="165"/>
      <c r="K327" s="303"/>
      <c r="L327" s="303"/>
      <c r="M327" s="202"/>
      <c r="N327" s="376"/>
      <c r="O327" s="197">
        <f>IFERROR(MIN(O324,O325/'Asset base'!O$99),0)</f>
        <v>107031.13468652408</v>
      </c>
      <c r="P327" s="164">
        <f>IFERROR(MIN(P324,P325/'Asset base'!P$99),0)</f>
        <v>107031.13468652408</v>
      </c>
      <c r="Q327" s="164">
        <f>IFERROR(MIN(Q324,Q325/'Asset base'!Q$99),0)</f>
        <v>107031.13468652408</v>
      </c>
      <c r="R327" s="164">
        <f>IFERROR(MIN(R324,R325/'Asset base'!R$99),0)</f>
        <v>107031.13468652408</v>
      </c>
      <c r="S327" s="164">
        <f>IFERROR(MIN(S324,S325/'Asset base'!S$99),0)</f>
        <v>107031.13468652405</v>
      </c>
      <c r="T327" s="164">
        <f>IFERROR(MIN(T324,T325/'Asset base'!T$99),0)</f>
        <v>0</v>
      </c>
      <c r="U327" s="164">
        <f>IFERROR(MIN(U324,U325/'Asset base'!U$99),0)</f>
        <v>0</v>
      </c>
      <c r="V327" s="164">
        <f>IFERROR(MIN(V324,V325/'Asset base'!V$99),0)</f>
        <v>0</v>
      </c>
      <c r="W327" s="164">
        <f>IFERROR(MIN(W324,W325/'Asset base'!W$99),0)</f>
        <v>0</v>
      </c>
      <c r="X327" s="164">
        <f>IFERROR(MIN(X324,X325/'Asset base'!X$99),0)</f>
        <v>0</v>
      </c>
      <c r="Y327" s="164">
        <f>IFERROR(MIN(Y324,Y325/'Asset base'!Y$99),0)</f>
        <v>0</v>
      </c>
      <c r="Z327" s="164">
        <f>IFERROR(MIN(Z324,Z325/'Asset base'!Z$99),0)</f>
        <v>0</v>
      </c>
      <c r="AA327" s="164">
        <f>IFERROR(MIN(AA324,AA325/'Asset base'!AA$99),0)</f>
        <v>0</v>
      </c>
      <c r="AB327" s="164">
        <f>IFERROR(MIN(AB324,AB325/'Asset base'!AB$99),0)</f>
        <v>0</v>
      </c>
      <c r="AC327" s="164">
        <f>IFERROR(MIN(AC324,AC325/'Asset base'!AC$99),0)</f>
        <v>0</v>
      </c>
      <c r="AD327" s="164">
        <f>IFERROR(MIN(AD324,AD325/'Asset base'!AD$99),0)</f>
        <v>0</v>
      </c>
      <c r="AE327" s="164">
        <f>IFERROR(MIN(AE324,AE325/'Asset base'!AE$99),0)</f>
        <v>0</v>
      </c>
      <c r="AF327" s="164">
        <f>IFERROR(MIN(AF324,AF325/'Asset base'!AF$99),0)</f>
        <v>0</v>
      </c>
      <c r="AG327" s="164">
        <f>IFERROR(MIN(AG324,AG325/'Asset base'!AG$99),0)</f>
        <v>0</v>
      </c>
      <c r="AH327" s="164">
        <f>IFERROR(MIN(AH324,AH325/'Asset base'!AH$99),0)</f>
        <v>0</v>
      </c>
      <c r="AI327" s="164">
        <f>IFERROR(MIN(AI324,AI325/'Asset base'!AI$99),0)</f>
        <v>0</v>
      </c>
      <c r="AJ327" s="164">
        <f>IFERROR(MIN(AJ324,AJ325/'Asset base'!AJ$99),0)</f>
        <v>0</v>
      </c>
      <c r="AK327" s="164">
        <f>IFERROR(MIN(AK324,AK325/'Asset base'!AK$99),0)</f>
        <v>0</v>
      </c>
      <c r="AL327" s="164">
        <f>IFERROR(MIN(AL324,AL325/'Asset base'!AL$99),0)</f>
        <v>0</v>
      </c>
      <c r="AM327" s="164">
        <f>IFERROR(MIN(AM324,AM325/'Asset base'!AM$99),0)</f>
        <v>0</v>
      </c>
    </row>
    <row r="328" spans="1:39" outlineLevel="1">
      <c r="A328" s="100"/>
      <c r="B328" s="100"/>
      <c r="C328" s="100"/>
      <c r="D328" s="179" t="str">
        <f t="shared" si="251"/>
        <v>Computers &amp; Furniture</v>
      </c>
      <c r="E328" s="165" t="str">
        <f>H686</f>
        <v>Terminal Domestic - Jet</v>
      </c>
      <c r="F328" s="165"/>
      <c r="G328" s="165" t="s">
        <v>77</v>
      </c>
      <c r="H328" s="121"/>
      <c r="I328" s="165"/>
      <c r="J328" s="165"/>
      <c r="K328" s="305"/>
      <c r="L328" s="305"/>
      <c r="M328" s="306"/>
      <c r="N328" s="376"/>
      <c r="O328" s="197">
        <f t="shared" ref="O328:X328" si="258">SUM(O326:O327)</f>
        <v>107031.13468652408</v>
      </c>
      <c r="P328" s="164">
        <f t="shared" si="258"/>
        <v>214062.26937304816</v>
      </c>
      <c r="Q328" s="164">
        <f t="shared" si="258"/>
        <v>321093.40405957226</v>
      </c>
      <c r="R328" s="164">
        <f t="shared" si="258"/>
        <v>428124.53874609631</v>
      </c>
      <c r="S328" s="164">
        <f t="shared" si="258"/>
        <v>535155.67343262036</v>
      </c>
      <c r="T328" s="164">
        <f t="shared" si="258"/>
        <v>535155.67343262036</v>
      </c>
      <c r="U328" s="164">
        <f t="shared" si="258"/>
        <v>535155.67343262036</v>
      </c>
      <c r="V328" s="164">
        <f t="shared" si="258"/>
        <v>535155.67343262036</v>
      </c>
      <c r="W328" s="164">
        <f t="shared" si="258"/>
        <v>535155.67343262036</v>
      </c>
      <c r="X328" s="164">
        <f t="shared" si="258"/>
        <v>535155.67343262036</v>
      </c>
      <c r="Y328" s="164">
        <f>SUM(Y326:Y327)</f>
        <v>535155.67343262036</v>
      </c>
      <c r="Z328" s="164">
        <f t="shared" ref="Z328:AM328" si="259">SUM(Z326:Z327)</f>
        <v>535155.67343262036</v>
      </c>
      <c r="AA328" s="164">
        <f t="shared" si="259"/>
        <v>535155.67343262036</v>
      </c>
      <c r="AB328" s="164">
        <f t="shared" si="259"/>
        <v>535155.67343262036</v>
      </c>
      <c r="AC328" s="164">
        <f t="shared" si="259"/>
        <v>535155.67343262036</v>
      </c>
      <c r="AD328" s="164">
        <f t="shared" si="259"/>
        <v>535155.67343262036</v>
      </c>
      <c r="AE328" s="164">
        <f t="shared" si="259"/>
        <v>535155.67343262036</v>
      </c>
      <c r="AF328" s="164">
        <f t="shared" si="259"/>
        <v>535155.67343262036</v>
      </c>
      <c r="AG328" s="164">
        <f t="shared" si="259"/>
        <v>535155.67343262036</v>
      </c>
      <c r="AH328" s="164">
        <f t="shared" si="259"/>
        <v>535155.67343262036</v>
      </c>
      <c r="AI328" s="164">
        <f t="shared" si="259"/>
        <v>535155.67343262036</v>
      </c>
      <c r="AJ328" s="164">
        <f t="shared" si="259"/>
        <v>535155.67343262036</v>
      </c>
      <c r="AK328" s="164">
        <f t="shared" si="259"/>
        <v>535155.67343262036</v>
      </c>
      <c r="AL328" s="164">
        <f t="shared" si="259"/>
        <v>535155.67343262036</v>
      </c>
      <c r="AM328" s="164">
        <f t="shared" si="259"/>
        <v>535155.67343262036</v>
      </c>
    </row>
    <row r="329" spans="1:39" outlineLevel="1">
      <c r="A329" s="100"/>
      <c r="B329" s="100"/>
      <c r="C329" s="100"/>
      <c r="D329" s="179" t="str">
        <f t="shared" si="251"/>
        <v>Computers &amp; Furniture</v>
      </c>
      <c r="E329" s="165" t="str">
        <f>H686</f>
        <v>Terminal Domestic - Jet</v>
      </c>
      <c r="F329" s="165"/>
      <c r="G329" s="200" t="s">
        <v>76</v>
      </c>
      <c r="H329" s="201"/>
      <c r="I329" s="200"/>
      <c r="J329" s="200"/>
      <c r="K329" s="198">
        <f t="shared" ref="K329:S329" si="260">K325-K328</f>
        <v>0</v>
      </c>
      <c r="L329" s="198">
        <f t="shared" si="260"/>
        <v>0</v>
      </c>
      <c r="M329" s="227">
        <f>N324</f>
        <v>0</v>
      </c>
      <c r="N329" s="541">
        <f>'[7]2008-2012 Asset Mov''t Revised'!$AA$77</f>
        <v>535155.67343262036</v>
      </c>
      <c r="O329" s="199">
        <f t="shared" si="260"/>
        <v>428124.53874609631</v>
      </c>
      <c r="P329" s="198">
        <f t="shared" si="260"/>
        <v>321093.4040595722</v>
      </c>
      <c r="Q329" s="198">
        <f t="shared" si="260"/>
        <v>214062.2693730481</v>
      </c>
      <c r="R329" s="198">
        <f t="shared" si="260"/>
        <v>107031.13468652405</v>
      </c>
      <c r="S329" s="198">
        <f t="shared" si="260"/>
        <v>0</v>
      </c>
      <c r="T329" s="198">
        <f t="shared" ref="T329:AM329" si="261">T325-T328</f>
        <v>0</v>
      </c>
      <c r="U329" s="198">
        <f t="shared" si="261"/>
        <v>0</v>
      </c>
      <c r="V329" s="198">
        <f t="shared" si="261"/>
        <v>0</v>
      </c>
      <c r="W329" s="198">
        <f t="shared" si="261"/>
        <v>0</v>
      </c>
      <c r="X329" s="198">
        <f t="shared" si="261"/>
        <v>0</v>
      </c>
      <c r="Y329" s="198">
        <f t="shared" si="261"/>
        <v>0</v>
      </c>
      <c r="Z329" s="198">
        <f t="shared" si="261"/>
        <v>0</v>
      </c>
      <c r="AA329" s="198">
        <f t="shared" si="261"/>
        <v>0</v>
      </c>
      <c r="AB329" s="198">
        <f t="shared" si="261"/>
        <v>0</v>
      </c>
      <c r="AC329" s="198">
        <f t="shared" si="261"/>
        <v>0</v>
      </c>
      <c r="AD329" s="198">
        <f t="shared" si="261"/>
        <v>0</v>
      </c>
      <c r="AE329" s="198">
        <f t="shared" si="261"/>
        <v>0</v>
      </c>
      <c r="AF329" s="198">
        <f t="shared" si="261"/>
        <v>0</v>
      </c>
      <c r="AG329" s="198">
        <f t="shared" si="261"/>
        <v>0</v>
      </c>
      <c r="AH329" s="198">
        <f t="shared" si="261"/>
        <v>0</v>
      </c>
      <c r="AI329" s="198">
        <f t="shared" si="261"/>
        <v>0</v>
      </c>
      <c r="AJ329" s="198">
        <f t="shared" si="261"/>
        <v>0</v>
      </c>
      <c r="AK329" s="198">
        <f t="shared" si="261"/>
        <v>0</v>
      </c>
      <c r="AL329" s="198">
        <f t="shared" si="261"/>
        <v>0</v>
      </c>
      <c r="AM329" s="198">
        <f t="shared" si="261"/>
        <v>0</v>
      </c>
    </row>
    <row r="330" spans="1:39" outlineLevel="1">
      <c r="A330" s="100"/>
      <c r="B330" s="100"/>
      <c r="C330" s="100"/>
      <c r="D330" s="179"/>
      <c r="E330" s="165"/>
      <c r="F330" s="165"/>
      <c r="G330" s="205"/>
      <c r="H330" s="121"/>
      <c r="I330" s="165"/>
      <c r="J330" s="165"/>
      <c r="K330" s="207"/>
      <c r="L330" s="164"/>
      <c r="M330" s="227"/>
      <c r="N330" s="203"/>
      <c r="O330" s="197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  <c r="AF330" s="165"/>
      <c r="AG330" s="165"/>
      <c r="AH330" s="165"/>
      <c r="AI330" s="165"/>
      <c r="AJ330" s="165"/>
      <c r="AK330" s="165"/>
      <c r="AL330" s="165"/>
      <c r="AM330" s="165"/>
    </row>
    <row r="331" spans="1:39" outlineLevel="1">
      <c r="A331" s="100"/>
      <c r="B331" s="100"/>
      <c r="C331" s="100"/>
      <c r="D331" s="179"/>
      <c r="E331" s="165"/>
      <c r="F331" s="165"/>
      <c r="G331" s="206" t="str">
        <f>G715</f>
        <v>Motor vehicles</v>
      </c>
      <c r="H331" s="121"/>
      <c r="I331" s="165"/>
      <c r="J331" s="165"/>
      <c r="K331" s="207"/>
      <c r="L331" s="164"/>
      <c r="M331" s="227"/>
      <c r="N331" s="203"/>
      <c r="O331" s="197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</row>
    <row r="332" spans="1:39" outlineLevel="1">
      <c r="A332" s="100"/>
      <c r="B332" s="100"/>
      <c r="C332" s="100"/>
      <c r="D332" s="179"/>
      <c r="E332" s="165"/>
      <c r="F332" s="165"/>
      <c r="G332" s="205"/>
      <c r="H332" s="121"/>
      <c r="I332" s="165"/>
      <c r="J332" s="165"/>
      <c r="K332" s="207"/>
      <c r="L332" s="164"/>
      <c r="M332" s="227"/>
      <c r="N332" s="203"/>
      <c r="O332" s="197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</row>
    <row r="333" spans="1:39" outlineLevel="1">
      <c r="A333" s="100"/>
      <c r="B333" s="100"/>
      <c r="C333" s="100"/>
      <c r="D333" s="179" t="str">
        <f t="shared" ref="D333:D338" si="262">$G$527</f>
        <v>Motor vehicles</v>
      </c>
      <c r="E333" s="165" t="str">
        <f>H686</f>
        <v>Terminal Domestic - Jet</v>
      </c>
      <c r="F333" s="165"/>
      <c r="G333" s="165" t="s">
        <v>80</v>
      </c>
      <c r="H333" s="121"/>
      <c r="I333" s="165"/>
      <c r="J333" s="165"/>
      <c r="K333" s="164"/>
      <c r="L333" s="164"/>
      <c r="M333" s="227"/>
      <c r="N333" s="376">
        <f>[2]OUTPUT!N671</f>
        <v>0</v>
      </c>
      <c r="O333" s="197">
        <f t="shared" ref="O333:X333" si="263">N338</f>
        <v>0</v>
      </c>
      <c r="P333" s="164">
        <f t="shared" si="263"/>
        <v>0</v>
      </c>
      <c r="Q333" s="164">
        <f t="shared" si="263"/>
        <v>0</v>
      </c>
      <c r="R333" s="164">
        <f t="shared" si="263"/>
        <v>0</v>
      </c>
      <c r="S333" s="164">
        <f t="shared" si="263"/>
        <v>0</v>
      </c>
      <c r="T333" s="164">
        <f t="shared" si="263"/>
        <v>0</v>
      </c>
      <c r="U333" s="164">
        <f t="shared" si="263"/>
        <v>0</v>
      </c>
      <c r="V333" s="164">
        <f t="shared" si="263"/>
        <v>0</v>
      </c>
      <c r="W333" s="164">
        <f t="shared" si="263"/>
        <v>0</v>
      </c>
      <c r="X333" s="164">
        <f t="shared" si="263"/>
        <v>0</v>
      </c>
      <c r="Y333" s="164">
        <f t="shared" ref="Y333:AM333" si="264">X338</f>
        <v>0</v>
      </c>
      <c r="Z333" s="164">
        <f t="shared" si="264"/>
        <v>0</v>
      </c>
      <c r="AA333" s="164">
        <f t="shared" si="264"/>
        <v>0</v>
      </c>
      <c r="AB333" s="164">
        <f t="shared" si="264"/>
        <v>0</v>
      </c>
      <c r="AC333" s="164">
        <f t="shared" si="264"/>
        <v>0</v>
      </c>
      <c r="AD333" s="164">
        <f t="shared" si="264"/>
        <v>0</v>
      </c>
      <c r="AE333" s="164">
        <f t="shared" si="264"/>
        <v>0</v>
      </c>
      <c r="AF333" s="164">
        <f t="shared" si="264"/>
        <v>0</v>
      </c>
      <c r="AG333" s="164">
        <f t="shared" si="264"/>
        <v>0</v>
      </c>
      <c r="AH333" s="164">
        <f t="shared" si="264"/>
        <v>0</v>
      </c>
      <c r="AI333" s="164">
        <f t="shared" si="264"/>
        <v>0</v>
      </c>
      <c r="AJ333" s="164">
        <f t="shared" si="264"/>
        <v>0</v>
      </c>
      <c r="AK333" s="164">
        <f t="shared" si="264"/>
        <v>0</v>
      </c>
      <c r="AL333" s="164">
        <f t="shared" si="264"/>
        <v>0</v>
      </c>
      <c r="AM333" s="164">
        <f t="shared" si="264"/>
        <v>0</v>
      </c>
    </row>
    <row r="334" spans="1:39" outlineLevel="1">
      <c r="A334" s="100"/>
      <c r="B334" s="100"/>
      <c r="C334" s="100"/>
      <c r="D334" s="179" t="str">
        <f t="shared" si="262"/>
        <v>Motor vehicles</v>
      </c>
      <c r="E334" s="165" t="str">
        <f>H686</f>
        <v>Terminal Domestic - Jet</v>
      </c>
      <c r="F334" s="165"/>
      <c r="G334" s="165" t="s">
        <v>60</v>
      </c>
      <c r="H334" s="121"/>
      <c r="I334" s="165"/>
      <c r="J334" s="165"/>
      <c r="K334" s="303"/>
      <c r="L334" s="303"/>
      <c r="M334" s="304"/>
      <c r="N334" s="376">
        <f>[2]OUTPUT!N672</f>
        <v>0</v>
      </c>
      <c r="O334" s="197">
        <f>N338</f>
        <v>0</v>
      </c>
      <c r="P334" s="164">
        <f t="shared" ref="P334:X334" si="265">O334</f>
        <v>0</v>
      </c>
      <c r="Q334" s="164">
        <f t="shared" si="265"/>
        <v>0</v>
      </c>
      <c r="R334" s="164">
        <f t="shared" si="265"/>
        <v>0</v>
      </c>
      <c r="S334" s="164">
        <f t="shared" si="265"/>
        <v>0</v>
      </c>
      <c r="T334" s="164">
        <f t="shared" si="265"/>
        <v>0</v>
      </c>
      <c r="U334" s="164">
        <f t="shared" si="265"/>
        <v>0</v>
      </c>
      <c r="V334" s="164">
        <f t="shared" si="265"/>
        <v>0</v>
      </c>
      <c r="W334" s="164">
        <f t="shared" si="265"/>
        <v>0</v>
      </c>
      <c r="X334" s="164">
        <f t="shared" si="265"/>
        <v>0</v>
      </c>
      <c r="Y334" s="164">
        <f t="shared" ref="Y334:AM334" si="266">X334</f>
        <v>0</v>
      </c>
      <c r="Z334" s="164">
        <f t="shared" si="266"/>
        <v>0</v>
      </c>
      <c r="AA334" s="164">
        <f t="shared" si="266"/>
        <v>0</v>
      </c>
      <c r="AB334" s="164">
        <f t="shared" si="266"/>
        <v>0</v>
      </c>
      <c r="AC334" s="164">
        <f t="shared" si="266"/>
        <v>0</v>
      </c>
      <c r="AD334" s="164">
        <f t="shared" si="266"/>
        <v>0</v>
      </c>
      <c r="AE334" s="164">
        <f t="shared" si="266"/>
        <v>0</v>
      </c>
      <c r="AF334" s="164">
        <f t="shared" si="266"/>
        <v>0</v>
      </c>
      <c r="AG334" s="164">
        <f t="shared" si="266"/>
        <v>0</v>
      </c>
      <c r="AH334" s="164">
        <f t="shared" si="266"/>
        <v>0</v>
      </c>
      <c r="AI334" s="164">
        <f t="shared" si="266"/>
        <v>0</v>
      </c>
      <c r="AJ334" s="164">
        <f t="shared" si="266"/>
        <v>0</v>
      </c>
      <c r="AK334" s="164">
        <f t="shared" si="266"/>
        <v>0</v>
      </c>
      <c r="AL334" s="164">
        <f t="shared" si="266"/>
        <v>0</v>
      </c>
      <c r="AM334" s="164">
        <f t="shared" si="266"/>
        <v>0</v>
      </c>
    </row>
    <row r="335" spans="1:39" outlineLevel="1">
      <c r="A335" s="100"/>
      <c r="B335" s="100"/>
      <c r="C335" s="100"/>
      <c r="D335" s="179" t="str">
        <f t="shared" si="262"/>
        <v>Motor vehicles</v>
      </c>
      <c r="E335" s="165" t="str">
        <f>H686</f>
        <v>Terminal Domestic - Jet</v>
      </c>
      <c r="F335" s="165"/>
      <c r="G335" s="165" t="s">
        <v>79</v>
      </c>
      <c r="H335" s="121"/>
      <c r="I335" s="165"/>
      <c r="J335" s="165"/>
      <c r="K335" s="303"/>
      <c r="L335" s="303"/>
      <c r="M335" s="202"/>
      <c r="N335" s="376">
        <f>[2]OUTPUT!N673</f>
        <v>0</v>
      </c>
      <c r="O335" s="197">
        <f t="shared" ref="O335:X335" si="267">N337</f>
        <v>0</v>
      </c>
      <c r="P335" s="164">
        <f t="shared" si="267"/>
        <v>0</v>
      </c>
      <c r="Q335" s="164">
        <f t="shared" si="267"/>
        <v>0</v>
      </c>
      <c r="R335" s="164">
        <f t="shared" si="267"/>
        <v>0</v>
      </c>
      <c r="S335" s="164">
        <f t="shared" si="267"/>
        <v>0</v>
      </c>
      <c r="T335" s="164">
        <f t="shared" si="267"/>
        <v>0</v>
      </c>
      <c r="U335" s="164">
        <f t="shared" si="267"/>
        <v>0</v>
      </c>
      <c r="V335" s="164">
        <f t="shared" si="267"/>
        <v>0</v>
      </c>
      <c r="W335" s="164">
        <f t="shared" si="267"/>
        <v>0</v>
      </c>
      <c r="X335" s="164">
        <f t="shared" si="267"/>
        <v>0</v>
      </c>
      <c r="Y335" s="164">
        <f t="shared" ref="Y335:AM335" si="268">X337</f>
        <v>0</v>
      </c>
      <c r="Z335" s="164">
        <f t="shared" si="268"/>
        <v>0</v>
      </c>
      <c r="AA335" s="164">
        <f t="shared" si="268"/>
        <v>0</v>
      </c>
      <c r="AB335" s="164">
        <f t="shared" si="268"/>
        <v>0</v>
      </c>
      <c r="AC335" s="164">
        <f t="shared" si="268"/>
        <v>0</v>
      </c>
      <c r="AD335" s="164">
        <f t="shared" si="268"/>
        <v>0</v>
      </c>
      <c r="AE335" s="164">
        <f t="shared" si="268"/>
        <v>0</v>
      </c>
      <c r="AF335" s="164">
        <f t="shared" si="268"/>
        <v>0</v>
      </c>
      <c r="AG335" s="164">
        <f t="shared" si="268"/>
        <v>0</v>
      </c>
      <c r="AH335" s="164">
        <f t="shared" si="268"/>
        <v>0</v>
      </c>
      <c r="AI335" s="164">
        <f t="shared" si="268"/>
        <v>0</v>
      </c>
      <c r="AJ335" s="164">
        <f t="shared" si="268"/>
        <v>0</v>
      </c>
      <c r="AK335" s="164">
        <f t="shared" si="268"/>
        <v>0</v>
      </c>
      <c r="AL335" s="164">
        <f t="shared" si="268"/>
        <v>0</v>
      </c>
      <c r="AM335" s="164">
        <f t="shared" si="268"/>
        <v>0</v>
      </c>
    </row>
    <row r="336" spans="1:39" outlineLevel="1">
      <c r="A336" s="100"/>
      <c r="B336" s="100"/>
      <c r="C336" s="100"/>
      <c r="D336" s="179" t="str">
        <f t="shared" si="262"/>
        <v>Motor vehicles</v>
      </c>
      <c r="E336" s="165" t="str">
        <f>H686</f>
        <v>Terminal Domestic - Jet</v>
      </c>
      <c r="F336" s="165"/>
      <c r="G336" s="165" t="s">
        <v>78</v>
      </c>
      <c r="H336" s="121"/>
      <c r="I336" s="165"/>
      <c r="J336" s="165"/>
      <c r="K336" s="303"/>
      <c r="L336" s="303"/>
      <c r="M336" s="202"/>
      <c r="N336" s="376">
        <f>[2]OUTPUT!N674</f>
        <v>0</v>
      </c>
      <c r="O336" s="197">
        <f>IFERROR(MIN(O333,O334/'Asset base'!O$100),0)</f>
        <v>0</v>
      </c>
      <c r="P336" s="164">
        <f>IFERROR(MIN(P333,P334/'Asset base'!P$100),0)</f>
        <v>0</v>
      </c>
      <c r="Q336" s="164">
        <f>IFERROR(MIN(Q333,Q334/'Asset base'!Q$100),0)</f>
        <v>0</v>
      </c>
      <c r="R336" s="164">
        <f>IFERROR(MIN(R333,R334/'Asset base'!R$100),0)</f>
        <v>0</v>
      </c>
      <c r="S336" s="164">
        <f>IFERROR(MIN(S333,S334/'Asset base'!S$100),0)</f>
        <v>0</v>
      </c>
      <c r="T336" s="164">
        <f>IFERROR(MIN(T333,T334/'Asset base'!T$100),0)</f>
        <v>0</v>
      </c>
      <c r="U336" s="164">
        <f>IFERROR(MIN(U333,U334/'Asset base'!U$100),0)</f>
        <v>0</v>
      </c>
      <c r="V336" s="164">
        <f>IFERROR(MIN(V333,V334/'Asset base'!V$100),0)</f>
        <v>0</v>
      </c>
      <c r="W336" s="164">
        <f>IFERROR(MIN(W333,W334/'Asset base'!W$100),0)</f>
        <v>0</v>
      </c>
      <c r="X336" s="164">
        <f>IFERROR(MIN(X333,X334/'Asset base'!X$100),0)</f>
        <v>0</v>
      </c>
      <c r="Y336" s="164">
        <f>IFERROR(MIN(Y333,Y334/'Asset base'!Y$100),0)</f>
        <v>0</v>
      </c>
      <c r="Z336" s="164">
        <f>IFERROR(MIN(Z333,Z334/'Asset base'!Z$100),0)</f>
        <v>0</v>
      </c>
      <c r="AA336" s="164">
        <f>IFERROR(MIN(AA333,AA334/'Asset base'!AA$100),0)</f>
        <v>0</v>
      </c>
      <c r="AB336" s="164">
        <f>IFERROR(MIN(AB333,AB334/'Asset base'!AB$100),0)</f>
        <v>0</v>
      </c>
      <c r="AC336" s="164">
        <f>IFERROR(MIN(AC333,AC334/'Asset base'!AC$100),0)</f>
        <v>0</v>
      </c>
      <c r="AD336" s="164">
        <f>IFERROR(MIN(AD333,AD334/'Asset base'!AD$100),0)</f>
        <v>0</v>
      </c>
      <c r="AE336" s="164">
        <f>IFERROR(MIN(AE333,AE334/'Asset base'!AE$100),0)</f>
        <v>0</v>
      </c>
      <c r="AF336" s="164">
        <f>IFERROR(MIN(AF333,AF334/'Asset base'!AF$100),0)</f>
        <v>0</v>
      </c>
      <c r="AG336" s="164">
        <f>IFERROR(MIN(AG333,AG334/'Asset base'!AG$100),0)</f>
        <v>0</v>
      </c>
      <c r="AH336" s="164">
        <f>IFERROR(MIN(AH333,AH334/'Asset base'!AH$100),0)</f>
        <v>0</v>
      </c>
      <c r="AI336" s="164">
        <f>IFERROR(MIN(AI333,AI334/'Asset base'!AI$100),0)</f>
        <v>0</v>
      </c>
      <c r="AJ336" s="164">
        <f>IFERROR(MIN(AJ333,AJ334/'Asset base'!AJ$100),0)</f>
        <v>0</v>
      </c>
      <c r="AK336" s="164">
        <f>IFERROR(MIN(AK333,AK334/'Asset base'!AK$100),0)</f>
        <v>0</v>
      </c>
      <c r="AL336" s="164">
        <f>IFERROR(MIN(AL333,AL334/'Asset base'!AL$100),0)</f>
        <v>0</v>
      </c>
      <c r="AM336" s="164">
        <f>IFERROR(MIN(AM333,AM334/'Asset base'!AM$100),0)</f>
        <v>0</v>
      </c>
    </row>
    <row r="337" spans="1:39" outlineLevel="1">
      <c r="A337" s="100"/>
      <c r="B337" s="100"/>
      <c r="C337" s="100"/>
      <c r="D337" s="179" t="str">
        <f t="shared" si="262"/>
        <v>Motor vehicles</v>
      </c>
      <c r="E337" s="165" t="str">
        <f>H686</f>
        <v>Terminal Domestic - Jet</v>
      </c>
      <c r="F337" s="165"/>
      <c r="G337" s="165" t="s">
        <v>77</v>
      </c>
      <c r="H337" s="121"/>
      <c r="I337" s="165"/>
      <c r="J337" s="165"/>
      <c r="K337" s="305"/>
      <c r="L337" s="305"/>
      <c r="M337" s="306"/>
      <c r="N337" s="376">
        <f>[2]OUTPUT!N675</f>
        <v>0</v>
      </c>
      <c r="O337" s="197">
        <f t="shared" ref="O337:X337" si="269">SUM(O335:O336)</f>
        <v>0</v>
      </c>
      <c r="P337" s="164">
        <f t="shared" si="269"/>
        <v>0</v>
      </c>
      <c r="Q337" s="164">
        <f t="shared" si="269"/>
        <v>0</v>
      </c>
      <c r="R337" s="164">
        <f t="shared" si="269"/>
        <v>0</v>
      </c>
      <c r="S337" s="164">
        <f t="shared" si="269"/>
        <v>0</v>
      </c>
      <c r="T337" s="164">
        <f t="shared" si="269"/>
        <v>0</v>
      </c>
      <c r="U337" s="164">
        <f t="shared" si="269"/>
        <v>0</v>
      </c>
      <c r="V337" s="164">
        <f t="shared" si="269"/>
        <v>0</v>
      </c>
      <c r="W337" s="164">
        <f t="shared" si="269"/>
        <v>0</v>
      </c>
      <c r="X337" s="164">
        <f t="shared" si="269"/>
        <v>0</v>
      </c>
      <c r="Y337" s="164">
        <f>SUM(Y335:Y336)</f>
        <v>0</v>
      </c>
      <c r="Z337" s="164">
        <f t="shared" ref="Z337:AM337" si="270">SUM(Z335:Z336)</f>
        <v>0</v>
      </c>
      <c r="AA337" s="164">
        <f t="shared" si="270"/>
        <v>0</v>
      </c>
      <c r="AB337" s="164">
        <f t="shared" si="270"/>
        <v>0</v>
      </c>
      <c r="AC337" s="164">
        <f t="shared" si="270"/>
        <v>0</v>
      </c>
      <c r="AD337" s="164">
        <f t="shared" si="270"/>
        <v>0</v>
      </c>
      <c r="AE337" s="164">
        <f t="shared" si="270"/>
        <v>0</v>
      </c>
      <c r="AF337" s="164">
        <f t="shared" si="270"/>
        <v>0</v>
      </c>
      <c r="AG337" s="164">
        <f t="shared" si="270"/>
        <v>0</v>
      </c>
      <c r="AH337" s="164">
        <f t="shared" si="270"/>
        <v>0</v>
      </c>
      <c r="AI337" s="164">
        <f t="shared" si="270"/>
        <v>0</v>
      </c>
      <c r="AJ337" s="164">
        <f t="shared" si="270"/>
        <v>0</v>
      </c>
      <c r="AK337" s="164">
        <f t="shared" si="270"/>
        <v>0</v>
      </c>
      <c r="AL337" s="164">
        <f t="shared" si="270"/>
        <v>0</v>
      </c>
      <c r="AM337" s="164">
        <f t="shared" si="270"/>
        <v>0</v>
      </c>
    </row>
    <row r="338" spans="1:39" outlineLevel="1">
      <c r="A338" s="100"/>
      <c r="B338" s="100"/>
      <c r="C338" s="100"/>
      <c r="D338" s="179" t="str">
        <f t="shared" si="262"/>
        <v>Motor vehicles</v>
      </c>
      <c r="E338" s="165" t="str">
        <f>H686</f>
        <v>Terminal Domestic - Jet</v>
      </c>
      <c r="F338" s="165"/>
      <c r="G338" s="200" t="s">
        <v>76</v>
      </c>
      <c r="H338" s="201"/>
      <c r="I338" s="200"/>
      <c r="J338" s="200"/>
      <c r="K338" s="198">
        <f t="shared" ref="K338:S338" si="271">K334-K337</f>
        <v>0</v>
      </c>
      <c r="L338" s="198">
        <f t="shared" si="271"/>
        <v>0</v>
      </c>
      <c r="M338" s="227">
        <f>N333</f>
        <v>0</v>
      </c>
      <c r="N338" s="541">
        <f>'[7]2008-2012 Asset Mov''t Revised'!$AA$78</f>
        <v>0</v>
      </c>
      <c r="O338" s="199">
        <f t="shared" si="271"/>
        <v>0</v>
      </c>
      <c r="P338" s="198">
        <f t="shared" si="271"/>
        <v>0</v>
      </c>
      <c r="Q338" s="198">
        <f t="shared" si="271"/>
        <v>0</v>
      </c>
      <c r="R338" s="198">
        <f t="shared" si="271"/>
        <v>0</v>
      </c>
      <c r="S338" s="198">
        <f t="shared" si="271"/>
        <v>0</v>
      </c>
      <c r="T338" s="198">
        <f t="shared" ref="T338:AM338" si="272">T334-T337</f>
        <v>0</v>
      </c>
      <c r="U338" s="198">
        <f t="shared" si="272"/>
        <v>0</v>
      </c>
      <c r="V338" s="198">
        <f t="shared" si="272"/>
        <v>0</v>
      </c>
      <c r="W338" s="198">
        <f t="shared" si="272"/>
        <v>0</v>
      </c>
      <c r="X338" s="198">
        <f t="shared" si="272"/>
        <v>0</v>
      </c>
      <c r="Y338" s="198">
        <f t="shared" si="272"/>
        <v>0</v>
      </c>
      <c r="Z338" s="198">
        <f t="shared" si="272"/>
        <v>0</v>
      </c>
      <c r="AA338" s="198">
        <f t="shared" si="272"/>
        <v>0</v>
      </c>
      <c r="AB338" s="198">
        <f t="shared" si="272"/>
        <v>0</v>
      </c>
      <c r="AC338" s="198">
        <f t="shared" si="272"/>
        <v>0</v>
      </c>
      <c r="AD338" s="198">
        <f t="shared" si="272"/>
        <v>0</v>
      </c>
      <c r="AE338" s="198">
        <f t="shared" si="272"/>
        <v>0</v>
      </c>
      <c r="AF338" s="198">
        <f t="shared" si="272"/>
        <v>0</v>
      </c>
      <c r="AG338" s="198">
        <f t="shared" si="272"/>
        <v>0</v>
      </c>
      <c r="AH338" s="198">
        <f t="shared" si="272"/>
        <v>0</v>
      </c>
      <c r="AI338" s="198">
        <f t="shared" si="272"/>
        <v>0</v>
      </c>
      <c r="AJ338" s="198">
        <f t="shared" si="272"/>
        <v>0</v>
      </c>
      <c r="AK338" s="198">
        <f t="shared" si="272"/>
        <v>0</v>
      </c>
      <c r="AL338" s="198">
        <f t="shared" si="272"/>
        <v>0</v>
      </c>
      <c r="AM338" s="198">
        <f t="shared" si="272"/>
        <v>0</v>
      </c>
    </row>
    <row r="339" spans="1:39" outlineLevel="1">
      <c r="A339" s="100"/>
      <c r="B339" s="100"/>
      <c r="C339" s="100"/>
      <c r="D339" s="179"/>
      <c r="E339" s="165"/>
      <c r="F339" s="165"/>
      <c r="G339" s="205"/>
      <c r="H339" s="121"/>
      <c r="I339" s="165"/>
      <c r="J339" s="48"/>
      <c r="K339" s="207"/>
      <c r="L339" s="164"/>
      <c r="M339" s="227"/>
      <c r="N339" s="203"/>
      <c r="O339" s="197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  <c r="AF339" s="165"/>
      <c r="AG339" s="165"/>
      <c r="AH339" s="165"/>
      <c r="AI339" s="165"/>
      <c r="AJ339" s="165"/>
      <c r="AK339" s="165"/>
      <c r="AL339" s="165"/>
      <c r="AM339" s="165"/>
    </row>
    <row r="340" spans="1:39" outlineLevel="1">
      <c r="A340" s="100"/>
      <c r="B340" s="100"/>
      <c r="C340" s="100"/>
      <c r="D340" s="179"/>
      <c r="E340" s="165"/>
      <c r="F340" s="165"/>
      <c r="G340" s="206" t="str">
        <f>G724</f>
        <v>Plant &amp; equipment</v>
      </c>
      <c r="H340" s="121"/>
      <c r="I340" s="165"/>
      <c r="J340" s="165"/>
      <c r="K340" s="207"/>
      <c r="L340" s="164"/>
      <c r="M340" s="227"/>
      <c r="N340" s="203"/>
      <c r="O340" s="197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  <c r="AG340" s="165"/>
      <c r="AH340" s="165"/>
      <c r="AI340" s="165"/>
      <c r="AJ340" s="165"/>
      <c r="AK340" s="165"/>
      <c r="AL340" s="165"/>
      <c r="AM340" s="165"/>
    </row>
    <row r="341" spans="1:39" outlineLevel="1">
      <c r="A341" s="100"/>
      <c r="B341" s="100"/>
      <c r="C341" s="100"/>
      <c r="D341" s="179"/>
      <c r="E341" s="165"/>
      <c r="F341" s="165"/>
      <c r="G341" s="205"/>
      <c r="H341" s="121"/>
      <c r="I341" s="165"/>
      <c r="J341" s="165"/>
      <c r="K341" s="207"/>
      <c r="L341" s="164"/>
      <c r="M341" s="227"/>
      <c r="N341" s="203"/>
      <c r="O341" s="197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  <c r="AF341" s="165"/>
      <c r="AG341" s="165"/>
      <c r="AH341" s="165"/>
      <c r="AI341" s="165"/>
      <c r="AJ341" s="165"/>
      <c r="AK341" s="165"/>
      <c r="AL341" s="165"/>
      <c r="AM341" s="165"/>
    </row>
    <row r="342" spans="1:39" outlineLevel="1">
      <c r="A342" s="100"/>
      <c r="B342" s="100"/>
      <c r="C342" s="100"/>
      <c r="D342" s="179" t="s">
        <v>34</v>
      </c>
      <c r="E342" s="165" t="str">
        <f>H686</f>
        <v>Terminal Domestic - Jet</v>
      </c>
      <c r="F342" s="165"/>
      <c r="G342" s="165" t="s">
        <v>80</v>
      </c>
      <c r="H342" s="121"/>
      <c r="I342" s="165"/>
      <c r="J342" s="165"/>
      <c r="K342" s="164"/>
      <c r="L342" s="164"/>
      <c r="M342" s="227"/>
      <c r="N342" s="376"/>
      <c r="O342" s="197">
        <f t="shared" ref="O342:X342" si="273">N347</f>
        <v>1043010.9184474562</v>
      </c>
      <c r="P342" s="164">
        <f t="shared" si="273"/>
        <v>938709.82660271064</v>
      </c>
      <c r="Q342" s="164">
        <f t="shared" si="273"/>
        <v>834408.73475796496</v>
      </c>
      <c r="R342" s="164">
        <f t="shared" si="273"/>
        <v>730107.64291321929</v>
      </c>
      <c r="S342" s="164">
        <f t="shared" si="273"/>
        <v>625806.55106847372</v>
      </c>
      <c r="T342" s="164">
        <f t="shared" si="273"/>
        <v>521505.4592237281</v>
      </c>
      <c r="U342" s="164">
        <f t="shared" si="273"/>
        <v>417204.36737898248</v>
      </c>
      <c r="V342" s="164">
        <f t="shared" si="273"/>
        <v>312903.27553423692</v>
      </c>
      <c r="W342" s="164">
        <f t="shared" si="273"/>
        <v>208602.18368949124</v>
      </c>
      <c r="X342" s="164">
        <f t="shared" si="273"/>
        <v>104301.09184474556</v>
      </c>
      <c r="Y342" s="164">
        <f t="shared" ref="Y342:AM342" si="274">X347</f>
        <v>0</v>
      </c>
      <c r="Z342" s="164">
        <f t="shared" si="274"/>
        <v>0</v>
      </c>
      <c r="AA342" s="164">
        <f t="shared" si="274"/>
        <v>0</v>
      </c>
      <c r="AB342" s="164">
        <f t="shared" si="274"/>
        <v>0</v>
      </c>
      <c r="AC342" s="164">
        <f t="shared" si="274"/>
        <v>0</v>
      </c>
      <c r="AD342" s="164">
        <f t="shared" si="274"/>
        <v>0</v>
      </c>
      <c r="AE342" s="164">
        <f t="shared" si="274"/>
        <v>0</v>
      </c>
      <c r="AF342" s="164">
        <f t="shared" si="274"/>
        <v>0</v>
      </c>
      <c r="AG342" s="164">
        <f t="shared" si="274"/>
        <v>0</v>
      </c>
      <c r="AH342" s="164">
        <f t="shared" si="274"/>
        <v>0</v>
      </c>
      <c r="AI342" s="164">
        <f t="shared" si="274"/>
        <v>0</v>
      </c>
      <c r="AJ342" s="164">
        <f t="shared" si="274"/>
        <v>0</v>
      </c>
      <c r="AK342" s="164">
        <f t="shared" si="274"/>
        <v>0</v>
      </c>
      <c r="AL342" s="164">
        <f t="shared" si="274"/>
        <v>0</v>
      </c>
      <c r="AM342" s="164">
        <f t="shared" si="274"/>
        <v>0</v>
      </c>
    </row>
    <row r="343" spans="1:39" outlineLevel="1">
      <c r="A343" s="100"/>
      <c r="B343" s="100"/>
      <c r="C343" s="100"/>
      <c r="D343" s="179" t="s">
        <v>34</v>
      </c>
      <c r="E343" s="165" t="str">
        <f>H686</f>
        <v>Terminal Domestic - Jet</v>
      </c>
      <c r="F343" s="165"/>
      <c r="G343" s="165" t="s">
        <v>60</v>
      </c>
      <c r="H343" s="121"/>
      <c r="I343" s="165"/>
      <c r="J343" s="165"/>
      <c r="K343" s="303"/>
      <c r="L343" s="303"/>
      <c r="M343" s="304"/>
      <c r="N343" s="376"/>
      <c r="O343" s="197">
        <f>N347</f>
        <v>1043010.9184474562</v>
      </c>
      <c r="P343" s="164">
        <f t="shared" ref="P343:X343" si="275">O343</f>
        <v>1043010.9184474562</v>
      </c>
      <c r="Q343" s="164">
        <f t="shared" si="275"/>
        <v>1043010.9184474562</v>
      </c>
      <c r="R343" s="164">
        <f t="shared" si="275"/>
        <v>1043010.9184474562</v>
      </c>
      <c r="S343" s="164">
        <f t="shared" si="275"/>
        <v>1043010.9184474562</v>
      </c>
      <c r="T343" s="164">
        <f t="shared" si="275"/>
        <v>1043010.9184474562</v>
      </c>
      <c r="U343" s="164">
        <f t="shared" si="275"/>
        <v>1043010.9184474562</v>
      </c>
      <c r="V343" s="164">
        <f t="shared" si="275"/>
        <v>1043010.9184474562</v>
      </c>
      <c r="W343" s="164">
        <f t="shared" si="275"/>
        <v>1043010.9184474562</v>
      </c>
      <c r="X343" s="164">
        <f t="shared" si="275"/>
        <v>1043010.9184474562</v>
      </c>
      <c r="Y343" s="164">
        <f t="shared" ref="Y343:AM343" si="276">X343</f>
        <v>1043010.9184474562</v>
      </c>
      <c r="Z343" s="164">
        <f t="shared" si="276"/>
        <v>1043010.9184474562</v>
      </c>
      <c r="AA343" s="164">
        <f t="shared" si="276"/>
        <v>1043010.9184474562</v>
      </c>
      <c r="AB343" s="164">
        <f t="shared" si="276"/>
        <v>1043010.9184474562</v>
      </c>
      <c r="AC343" s="164">
        <f t="shared" si="276"/>
        <v>1043010.9184474562</v>
      </c>
      <c r="AD343" s="164">
        <f t="shared" si="276"/>
        <v>1043010.9184474562</v>
      </c>
      <c r="AE343" s="164">
        <f t="shared" si="276"/>
        <v>1043010.9184474562</v>
      </c>
      <c r="AF343" s="164">
        <f t="shared" si="276"/>
        <v>1043010.9184474562</v>
      </c>
      <c r="AG343" s="164">
        <f t="shared" si="276"/>
        <v>1043010.9184474562</v>
      </c>
      <c r="AH343" s="164">
        <f t="shared" si="276"/>
        <v>1043010.9184474562</v>
      </c>
      <c r="AI343" s="164">
        <f t="shared" si="276"/>
        <v>1043010.9184474562</v>
      </c>
      <c r="AJ343" s="164">
        <f t="shared" si="276"/>
        <v>1043010.9184474562</v>
      </c>
      <c r="AK343" s="164">
        <f t="shared" si="276"/>
        <v>1043010.9184474562</v>
      </c>
      <c r="AL343" s="164">
        <f t="shared" si="276"/>
        <v>1043010.9184474562</v>
      </c>
      <c r="AM343" s="164">
        <f t="shared" si="276"/>
        <v>1043010.9184474562</v>
      </c>
    </row>
    <row r="344" spans="1:39" outlineLevel="1">
      <c r="A344" s="100"/>
      <c r="B344" s="100"/>
      <c r="C344" s="100"/>
      <c r="D344" s="179" t="s">
        <v>34</v>
      </c>
      <c r="E344" s="165" t="str">
        <f>H686</f>
        <v>Terminal Domestic - Jet</v>
      </c>
      <c r="F344" s="165"/>
      <c r="G344" s="165" t="s">
        <v>79</v>
      </c>
      <c r="H344" s="121"/>
      <c r="I344" s="165"/>
      <c r="J344" s="165"/>
      <c r="K344" s="303"/>
      <c r="L344" s="303"/>
      <c r="M344" s="202"/>
      <c r="N344" s="376"/>
      <c r="O344" s="197">
        <f t="shared" ref="O344:X344" si="277">N346</f>
        <v>0</v>
      </c>
      <c r="P344" s="164">
        <f t="shared" si="277"/>
        <v>104301.09184474562</v>
      </c>
      <c r="Q344" s="164">
        <f t="shared" si="277"/>
        <v>208602.18368949124</v>
      </c>
      <c r="R344" s="164">
        <f t="shared" si="277"/>
        <v>312903.27553423686</v>
      </c>
      <c r="S344" s="164">
        <f t="shared" si="277"/>
        <v>417204.36737898248</v>
      </c>
      <c r="T344" s="164">
        <f t="shared" si="277"/>
        <v>521505.4592237281</v>
      </c>
      <c r="U344" s="164">
        <f t="shared" si="277"/>
        <v>625806.55106847372</v>
      </c>
      <c r="V344" s="164">
        <f t="shared" si="277"/>
        <v>730107.64291321929</v>
      </c>
      <c r="W344" s="164">
        <f t="shared" si="277"/>
        <v>834408.73475796496</v>
      </c>
      <c r="X344" s="164">
        <f t="shared" si="277"/>
        <v>938709.82660271064</v>
      </c>
      <c r="Y344" s="164">
        <f t="shared" ref="Y344:AM344" si="278">X346</f>
        <v>1043010.9184474562</v>
      </c>
      <c r="Z344" s="164">
        <f t="shared" si="278"/>
        <v>1043010.9184474562</v>
      </c>
      <c r="AA344" s="164">
        <f t="shared" si="278"/>
        <v>1043010.9184474562</v>
      </c>
      <c r="AB344" s="164">
        <f t="shared" si="278"/>
        <v>1043010.9184474562</v>
      </c>
      <c r="AC344" s="164">
        <f t="shared" si="278"/>
        <v>1043010.9184474562</v>
      </c>
      <c r="AD344" s="164">
        <f t="shared" si="278"/>
        <v>1043010.9184474562</v>
      </c>
      <c r="AE344" s="164">
        <f t="shared" si="278"/>
        <v>1043010.9184474562</v>
      </c>
      <c r="AF344" s="164">
        <f t="shared" si="278"/>
        <v>1043010.9184474562</v>
      </c>
      <c r="AG344" s="164">
        <f t="shared" si="278"/>
        <v>1043010.9184474562</v>
      </c>
      <c r="AH344" s="164">
        <f t="shared" si="278"/>
        <v>1043010.9184474562</v>
      </c>
      <c r="AI344" s="164">
        <f t="shared" si="278"/>
        <v>1043010.9184474562</v>
      </c>
      <c r="AJ344" s="164">
        <f t="shared" si="278"/>
        <v>1043010.9184474562</v>
      </c>
      <c r="AK344" s="164">
        <f t="shared" si="278"/>
        <v>1043010.9184474562</v>
      </c>
      <c r="AL344" s="164">
        <f t="shared" si="278"/>
        <v>1043010.9184474562</v>
      </c>
      <c r="AM344" s="164">
        <f t="shared" si="278"/>
        <v>1043010.9184474562</v>
      </c>
    </row>
    <row r="345" spans="1:39" outlineLevel="1">
      <c r="A345" s="100"/>
      <c r="B345" s="100"/>
      <c r="C345" s="100"/>
      <c r="D345" s="179" t="s">
        <v>34</v>
      </c>
      <c r="E345" s="165" t="str">
        <f>H686</f>
        <v>Terminal Domestic - Jet</v>
      </c>
      <c r="F345" s="165"/>
      <c r="G345" s="165" t="s">
        <v>78</v>
      </c>
      <c r="H345" s="121"/>
      <c r="I345" s="165"/>
      <c r="J345" s="165"/>
      <c r="K345" s="303"/>
      <c r="L345" s="303"/>
      <c r="M345" s="202"/>
      <c r="N345" s="376"/>
      <c r="O345" s="197">
        <f>IFERROR(MIN(O342,O343/'Asset base'!O$101),0)</f>
        <v>104301.09184474562</v>
      </c>
      <c r="P345" s="164">
        <f>IFERROR(MIN(P342,P343/'Asset base'!P$101),0)</f>
        <v>104301.09184474562</v>
      </c>
      <c r="Q345" s="164">
        <f>IFERROR(MIN(Q342,Q343/'Asset base'!Q$101),0)</f>
        <v>104301.09184474562</v>
      </c>
      <c r="R345" s="164">
        <f>IFERROR(MIN(R342,R343/'Asset base'!R$101),0)</f>
        <v>104301.09184474562</v>
      </c>
      <c r="S345" s="164">
        <f>IFERROR(MIN(S342,S343/'Asset base'!S$101),0)</f>
        <v>104301.09184474562</v>
      </c>
      <c r="T345" s="164">
        <f>IFERROR(MIN(T342,T343/'Asset base'!T$101),0)</f>
        <v>104301.09184474562</v>
      </c>
      <c r="U345" s="164">
        <f>IFERROR(MIN(U342,U343/'Asset base'!U$101),0)</f>
        <v>104301.09184474562</v>
      </c>
      <c r="V345" s="164">
        <f>IFERROR(MIN(V342,V343/'Asset base'!V$101),0)</f>
        <v>104301.09184474562</v>
      </c>
      <c r="W345" s="164">
        <f>IFERROR(MIN(W342,W343/'Asset base'!W$101),0)</f>
        <v>104301.09184474562</v>
      </c>
      <c r="X345" s="164">
        <f>IFERROR(MIN(X342,X343/'Asset base'!X$101),0)</f>
        <v>104301.09184474556</v>
      </c>
      <c r="Y345" s="164">
        <f>IFERROR(MIN(Y342,Y343/'Asset base'!Y$101),0)</f>
        <v>0</v>
      </c>
      <c r="Z345" s="164">
        <f>IFERROR(MIN(Z342,Z343/'Asset base'!Z$101),0)</f>
        <v>0</v>
      </c>
      <c r="AA345" s="164">
        <f>IFERROR(MIN(AA342,AA343/'Asset base'!AA$101),0)</f>
        <v>0</v>
      </c>
      <c r="AB345" s="164">
        <f>IFERROR(MIN(AB342,AB343/'Asset base'!AB$101),0)</f>
        <v>0</v>
      </c>
      <c r="AC345" s="164">
        <f>IFERROR(MIN(AC342,AC343/'Asset base'!AC$101),0)</f>
        <v>0</v>
      </c>
      <c r="AD345" s="164">
        <f>IFERROR(MIN(AD342,AD343/'Asset base'!AD$101),0)</f>
        <v>0</v>
      </c>
      <c r="AE345" s="164">
        <f>IFERROR(MIN(AE342,AE343/'Asset base'!AE$101),0)</f>
        <v>0</v>
      </c>
      <c r="AF345" s="164">
        <f>IFERROR(MIN(AF342,AF343/'Asset base'!AF$101),0)</f>
        <v>0</v>
      </c>
      <c r="AG345" s="164">
        <f>IFERROR(MIN(AG342,AG343/'Asset base'!AG$101),0)</f>
        <v>0</v>
      </c>
      <c r="AH345" s="164">
        <f>IFERROR(MIN(AH342,AH343/'Asset base'!AH$101),0)</f>
        <v>0</v>
      </c>
      <c r="AI345" s="164">
        <f>IFERROR(MIN(AI342,AI343/'Asset base'!AI$101),0)</f>
        <v>0</v>
      </c>
      <c r="AJ345" s="164">
        <f>IFERROR(MIN(AJ342,AJ343/'Asset base'!AJ$101),0)</f>
        <v>0</v>
      </c>
      <c r="AK345" s="164">
        <f>IFERROR(MIN(AK342,AK343/'Asset base'!AK$101),0)</f>
        <v>0</v>
      </c>
      <c r="AL345" s="164">
        <f>IFERROR(MIN(AL342,AL343/'Asset base'!AL$101),0)</f>
        <v>0</v>
      </c>
      <c r="AM345" s="164">
        <f>IFERROR(MIN(AM342,AM343/'Asset base'!AM$101),0)</f>
        <v>0</v>
      </c>
    </row>
    <row r="346" spans="1:39" outlineLevel="1">
      <c r="A346" s="100"/>
      <c r="B346" s="100"/>
      <c r="C346" s="100"/>
      <c r="D346" s="179" t="s">
        <v>34</v>
      </c>
      <c r="E346" s="165" t="str">
        <f>H686</f>
        <v>Terminal Domestic - Jet</v>
      </c>
      <c r="F346" s="165"/>
      <c r="G346" s="165" t="s">
        <v>77</v>
      </c>
      <c r="H346" s="121"/>
      <c r="I346" s="165"/>
      <c r="J346" s="165"/>
      <c r="K346" s="305"/>
      <c r="L346" s="305"/>
      <c r="M346" s="306"/>
      <c r="N346" s="376"/>
      <c r="O346" s="197">
        <f t="shared" ref="O346:X346" si="279">SUM(O344:O345)</f>
        <v>104301.09184474562</v>
      </c>
      <c r="P346" s="164">
        <f t="shared" si="279"/>
        <v>208602.18368949124</v>
      </c>
      <c r="Q346" s="164">
        <f t="shared" si="279"/>
        <v>312903.27553423686</v>
      </c>
      <c r="R346" s="164">
        <f t="shared" si="279"/>
        <v>417204.36737898248</v>
      </c>
      <c r="S346" s="164">
        <f t="shared" si="279"/>
        <v>521505.4592237281</v>
      </c>
      <c r="T346" s="164">
        <f t="shared" si="279"/>
        <v>625806.55106847372</v>
      </c>
      <c r="U346" s="164">
        <f t="shared" si="279"/>
        <v>730107.64291321929</v>
      </c>
      <c r="V346" s="164">
        <f t="shared" si="279"/>
        <v>834408.73475796496</v>
      </c>
      <c r="W346" s="164">
        <f t="shared" si="279"/>
        <v>938709.82660271064</v>
      </c>
      <c r="X346" s="164">
        <f t="shared" si="279"/>
        <v>1043010.9184474562</v>
      </c>
      <c r="Y346" s="164">
        <f>SUM(Y344:Y345)</f>
        <v>1043010.9184474562</v>
      </c>
      <c r="Z346" s="164">
        <f t="shared" ref="Z346:AM346" si="280">SUM(Z344:Z345)</f>
        <v>1043010.9184474562</v>
      </c>
      <c r="AA346" s="164">
        <f t="shared" si="280"/>
        <v>1043010.9184474562</v>
      </c>
      <c r="AB346" s="164">
        <f t="shared" si="280"/>
        <v>1043010.9184474562</v>
      </c>
      <c r="AC346" s="164">
        <f t="shared" si="280"/>
        <v>1043010.9184474562</v>
      </c>
      <c r="AD346" s="164">
        <f t="shared" si="280"/>
        <v>1043010.9184474562</v>
      </c>
      <c r="AE346" s="164">
        <f t="shared" si="280"/>
        <v>1043010.9184474562</v>
      </c>
      <c r="AF346" s="164">
        <f t="shared" si="280"/>
        <v>1043010.9184474562</v>
      </c>
      <c r="AG346" s="164">
        <f t="shared" si="280"/>
        <v>1043010.9184474562</v>
      </c>
      <c r="AH346" s="164">
        <f t="shared" si="280"/>
        <v>1043010.9184474562</v>
      </c>
      <c r="AI346" s="164">
        <f t="shared" si="280"/>
        <v>1043010.9184474562</v>
      </c>
      <c r="AJ346" s="164">
        <f t="shared" si="280"/>
        <v>1043010.9184474562</v>
      </c>
      <c r="AK346" s="164">
        <f t="shared" si="280"/>
        <v>1043010.9184474562</v>
      </c>
      <c r="AL346" s="164">
        <f t="shared" si="280"/>
        <v>1043010.9184474562</v>
      </c>
      <c r="AM346" s="164">
        <f t="shared" si="280"/>
        <v>1043010.9184474562</v>
      </c>
    </row>
    <row r="347" spans="1:39" outlineLevel="1">
      <c r="A347" s="100"/>
      <c r="B347" s="100"/>
      <c r="C347" s="100"/>
      <c r="D347" s="179" t="s">
        <v>34</v>
      </c>
      <c r="E347" s="165" t="str">
        <f>H686</f>
        <v>Terminal Domestic - Jet</v>
      </c>
      <c r="F347" s="165"/>
      <c r="G347" s="200" t="s">
        <v>76</v>
      </c>
      <c r="H347" s="201"/>
      <c r="I347" s="200"/>
      <c r="J347" s="200"/>
      <c r="K347" s="198">
        <f t="shared" ref="K347:S347" si="281">K343-K346</f>
        <v>0</v>
      </c>
      <c r="L347" s="198">
        <f t="shared" si="281"/>
        <v>0</v>
      </c>
      <c r="M347" s="227">
        <f>N342</f>
        <v>0</v>
      </c>
      <c r="N347" s="541">
        <f>'[7]2008-2012 Asset Mov''t Revised'!$AA$79</f>
        <v>1043010.9184474562</v>
      </c>
      <c r="O347" s="199">
        <f t="shared" si="281"/>
        <v>938709.82660271064</v>
      </c>
      <c r="P347" s="198">
        <f t="shared" si="281"/>
        <v>834408.73475796496</v>
      </c>
      <c r="Q347" s="198">
        <f t="shared" si="281"/>
        <v>730107.64291321929</v>
      </c>
      <c r="R347" s="198">
        <f t="shared" si="281"/>
        <v>625806.55106847372</v>
      </c>
      <c r="S347" s="198">
        <f t="shared" si="281"/>
        <v>521505.4592237281</v>
      </c>
      <c r="T347" s="198">
        <f t="shared" ref="T347:AM347" si="282">T343-T346</f>
        <v>417204.36737898248</v>
      </c>
      <c r="U347" s="198">
        <f t="shared" si="282"/>
        <v>312903.27553423692</v>
      </c>
      <c r="V347" s="198">
        <f t="shared" si="282"/>
        <v>208602.18368949124</v>
      </c>
      <c r="W347" s="198">
        <f t="shared" si="282"/>
        <v>104301.09184474556</v>
      </c>
      <c r="X347" s="198">
        <f t="shared" si="282"/>
        <v>0</v>
      </c>
      <c r="Y347" s="198">
        <f t="shared" si="282"/>
        <v>0</v>
      </c>
      <c r="Z347" s="198">
        <f t="shared" si="282"/>
        <v>0</v>
      </c>
      <c r="AA347" s="198">
        <f t="shared" si="282"/>
        <v>0</v>
      </c>
      <c r="AB347" s="198">
        <f t="shared" si="282"/>
        <v>0</v>
      </c>
      <c r="AC347" s="198">
        <f t="shared" si="282"/>
        <v>0</v>
      </c>
      <c r="AD347" s="198">
        <f t="shared" si="282"/>
        <v>0</v>
      </c>
      <c r="AE347" s="198">
        <f t="shared" si="282"/>
        <v>0</v>
      </c>
      <c r="AF347" s="198">
        <f t="shared" si="282"/>
        <v>0</v>
      </c>
      <c r="AG347" s="198">
        <f t="shared" si="282"/>
        <v>0</v>
      </c>
      <c r="AH347" s="198">
        <f t="shared" si="282"/>
        <v>0</v>
      </c>
      <c r="AI347" s="198">
        <f t="shared" si="282"/>
        <v>0</v>
      </c>
      <c r="AJ347" s="198">
        <f t="shared" si="282"/>
        <v>0</v>
      </c>
      <c r="AK347" s="198">
        <f t="shared" si="282"/>
        <v>0</v>
      </c>
      <c r="AL347" s="198">
        <f t="shared" si="282"/>
        <v>0</v>
      </c>
      <c r="AM347" s="198">
        <f t="shared" si="282"/>
        <v>0</v>
      </c>
    </row>
    <row r="348" spans="1:39" outlineLevel="1">
      <c r="A348" s="100"/>
      <c r="B348" s="100"/>
      <c r="C348" s="100"/>
      <c r="D348" s="179"/>
      <c r="E348" s="165"/>
      <c r="F348" s="165"/>
      <c r="G348" s="165"/>
      <c r="H348" s="121"/>
      <c r="I348" s="165"/>
      <c r="J348" s="165"/>
      <c r="K348" s="164"/>
      <c r="L348" s="164"/>
      <c r="M348" s="227"/>
      <c r="N348" s="203"/>
      <c r="O348" s="197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  <c r="AA348" s="164"/>
      <c r="AB348" s="164"/>
      <c r="AC348" s="164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</row>
    <row r="349" spans="1:39" outlineLevel="1">
      <c r="A349" s="100"/>
      <c r="B349" s="100"/>
      <c r="C349" s="100"/>
      <c r="D349" s="179"/>
      <c r="E349" s="165"/>
      <c r="F349" s="165"/>
      <c r="G349" s="206" t="str">
        <f>G733</f>
        <v>Airfield Runway Apron Taxi</v>
      </c>
      <c r="H349" s="121"/>
      <c r="I349" s="165"/>
      <c r="J349" s="165"/>
      <c r="K349" s="207"/>
      <c r="L349" s="164"/>
      <c r="M349" s="227"/>
      <c r="N349" s="203"/>
      <c r="O349" s="197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  <c r="AG349" s="165"/>
      <c r="AH349" s="165"/>
      <c r="AI349" s="165"/>
      <c r="AJ349" s="165"/>
      <c r="AK349" s="165"/>
      <c r="AL349" s="165"/>
      <c r="AM349" s="165"/>
    </row>
    <row r="350" spans="1:39" outlineLevel="1">
      <c r="A350" s="100"/>
      <c r="B350" s="100"/>
      <c r="C350" s="100"/>
      <c r="D350" s="179"/>
      <c r="E350" s="165"/>
      <c r="F350" s="165"/>
      <c r="G350" s="205"/>
      <c r="H350" s="121"/>
      <c r="I350" s="165"/>
      <c r="J350" s="165"/>
      <c r="K350" s="207"/>
      <c r="L350" s="164"/>
      <c r="M350" s="227"/>
      <c r="N350" s="203"/>
      <c r="O350" s="197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/>
      <c r="AH350" s="165"/>
      <c r="AI350" s="165"/>
      <c r="AJ350" s="165"/>
      <c r="AK350" s="165"/>
      <c r="AL350" s="165"/>
      <c r="AM350" s="165"/>
    </row>
    <row r="351" spans="1:39" outlineLevel="1">
      <c r="A351" s="100"/>
      <c r="B351" s="100"/>
      <c r="C351" s="100"/>
      <c r="D351" s="179" t="str">
        <f t="shared" ref="D351:D356" si="283">$G$545</f>
        <v>Airfield Runway Apron Taxi</v>
      </c>
      <c r="E351" s="165" t="str">
        <f>H686</f>
        <v>Terminal Domestic - Jet</v>
      </c>
      <c r="F351" s="165"/>
      <c r="G351" s="165" t="s">
        <v>80</v>
      </c>
      <c r="H351" s="121"/>
      <c r="I351" s="165"/>
      <c r="J351" s="165"/>
      <c r="K351" s="164"/>
      <c r="L351" s="164"/>
      <c r="M351" s="227"/>
      <c r="N351" s="376">
        <f>[2]OUTPUT!N689</f>
        <v>0</v>
      </c>
      <c r="O351" s="197">
        <f t="shared" ref="O351:X351" si="284">N356</f>
        <v>0</v>
      </c>
      <c r="P351" s="164">
        <f t="shared" si="284"/>
        <v>0</v>
      </c>
      <c r="Q351" s="164">
        <f t="shared" si="284"/>
        <v>0</v>
      </c>
      <c r="R351" s="164">
        <f t="shared" si="284"/>
        <v>0</v>
      </c>
      <c r="S351" s="164">
        <f t="shared" si="284"/>
        <v>0</v>
      </c>
      <c r="T351" s="164">
        <f t="shared" si="284"/>
        <v>0</v>
      </c>
      <c r="U351" s="164">
        <f t="shared" si="284"/>
        <v>0</v>
      </c>
      <c r="V351" s="164">
        <f t="shared" si="284"/>
        <v>0</v>
      </c>
      <c r="W351" s="164">
        <f t="shared" si="284"/>
        <v>0</v>
      </c>
      <c r="X351" s="164">
        <f t="shared" si="284"/>
        <v>0</v>
      </c>
      <c r="Y351" s="164">
        <f t="shared" ref="Y351:AM351" si="285">X356</f>
        <v>0</v>
      </c>
      <c r="Z351" s="164">
        <f t="shared" si="285"/>
        <v>0</v>
      </c>
      <c r="AA351" s="164">
        <f t="shared" si="285"/>
        <v>0</v>
      </c>
      <c r="AB351" s="164">
        <f t="shared" si="285"/>
        <v>0</v>
      </c>
      <c r="AC351" s="164">
        <f t="shared" si="285"/>
        <v>0</v>
      </c>
      <c r="AD351" s="164">
        <f t="shared" si="285"/>
        <v>0</v>
      </c>
      <c r="AE351" s="164">
        <f t="shared" si="285"/>
        <v>0</v>
      </c>
      <c r="AF351" s="164">
        <f t="shared" si="285"/>
        <v>0</v>
      </c>
      <c r="AG351" s="164">
        <f t="shared" si="285"/>
        <v>0</v>
      </c>
      <c r="AH351" s="164">
        <f t="shared" si="285"/>
        <v>0</v>
      </c>
      <c r="AI351" s="164">
        <f t="shared" si="285"/>
        <v>0</v>
      </c>
      <c r="AJ351" s="164">
        <f t="shared" si="285"/>
        <v>0</v>
      </c>
      <c r="AK351" s="164">
        <f t="shared" si="285"/>
        <v>0</v>
      </c>
      <c r="AL351" s="164">
        <f t="shared" si="285"/>
        <v>0</v>
      </c>
      <c r="AM351" s="164">
        <f t="shared" si="285"/>
        <v>0</v>
      </c>
    </row>
    <row r="352" spans="1:39" outlineLevel="1">
      <c r="A352" s="100"/>
      <c r="B352" s="100"/>
      <c r="C352" s="100"/>
      <c r="D352" s="179" t="str">
        <f t="shared" si="283"/>
        <v>Airfield Runway Apron Taxi</v>
      </c>
      <c r="E352" s="165" t="str">
        <f>H686</f>
        <v>Terminal Domestic - Jet</v>
      </c>
      <c r="F352" s="165"/>
      <c r="G352" s="165" t="s">
        <v>60</v>
      </c>
      <c r="H352" s="121"/>
      <c r="I352" s="165"/>
      <c r="J352" s="165"/>
      <c r="K352" s="303"/>
      <c r="L352" s="303"/>
      <c r="M352" s="304"/>
      <c r="N352" s="376">
        <f>[2]OUTPUT!N690</f>
        <v>0</v>
      </c>
      <c r="O352" s="197">
        <f>N356</f>
        <v>0</v>
      </c>
      <c r="P352" s="164">
        <f t="shared" ref="P352:X352" si="286">O352</f>
        <v>0</v>
      </c>
      <c r="Q352" s="164">
        <f t="shared" si="286"/>
        <v>0</v>
      </c>
      <c r="R352" s="164">
        <f t="shared" si="286"/>
        <v>0</v>
      </c>
      <c r="S352" s="164">
        <f t="shared" si="286"/>
        <v>0</v>
      </c>
      <c r="T352" s="164">
        <f t="shared" si="286"/>
        <v>0</v>
      </c>
      <c r="U352" s="164">
        <f t="shared" si="286"/>
        <v>0</v>
      </c>
      <c r="V352" s="164">
        <f t="shared" si="286"/>
        <v>0</v>
      </c>
      <c r="W352" s="164">
        <f t="shared" si="286"/>
        <v>0</v>
      </c>
      <c r="X352" s="164">
        <f t="shared" si="286"/>
        <v>0</v>
      </c>
      <c r="Y352" s="164">
        <f t="shared" ref="Y352:AM352" si="287">X352</f>
        <v>0</v>
      </c>
      <c r="Z352" s="164">
        <f t="shared" si="287"/>
        <v>0</v>
      </c>
      <c r="AA352" s="164">
        <f t="shared" si="287"/>
        <v>0</v>
      </c>
      <c r="AB352" s="164">
        <f t="shared" si="287"/>
        <v>0</v>
      </c>
      <c r="AC352" s="164">
        <f t="shared" si="287"/>
        <v>0</v>
      </c>
      <c r="AD352" s="164">
        <f t="shared" si="287"/>
        <v>0</v>
      </c>
      <c r="AE352" s="164">
        <f t="shared" si="287"/>
        <v>0</v>
      </c>
      <c r="AF352" s="164">
        <f t="shared" si="287"/>
        <v>0</v>
      </c>
      <c r="AG352" s="164">
        <f t="shared" si="287"/>
        <v>0</v>
      </c>
      <c r="AH352" s="164">
        <f t="shared" si="287"/>
        <v>0</v>
      </c>
      <c r="AI352" s="164">
        <f t="shared" si="287"/>
        <v>0</v>
      </c>
      <c r="AJ352" s="164">
        <f t="shared" si="287"/>
        <v>0</v>
      </c>
      <c r="AK352" s="164">
        <f t="shared" si="287"/>
        <v>0</v>
      </c>
      <c r="AL352" s="164">
        <f t="shared" si="287"/>
        <v>0</v>
      </c>
      <c r="AM352" s="164">
        <f t="shared" si="287"/>
        <v>0</v>
      </c>
    </row>
    <row r="353" spans="1:39" outlineLevel="1">
      <c r="A353" s="100"/>
      <c r="B353" s="100"/>
      <c r="C353" s="100"/>
      <c r="D353" s="179" t="str">
        <f t="shared" si="283"/>
        <v>Airfield Runway Apron Taxi</v>
      </c>
      <c r="E353" s="165" t="str">
        <f>H686</f>
        <v>Terminal Domestic - Jet</v>
      </c>
      <c r="F353" s="165"/>
      <c r="G353" s="165" t="s">
        <v>79</v>
      </c>
      <c r="H353" s="121"/>
      <c r="I353" s="165"/>
      <c r="J353" s="165"/>
      <c r="K353" s="303"/>
      <c r="L353" s="303"/>
      <c r="M353" s="202"/>
      <c r="N353" s="376">
        <f>[2]OUTPUT!N691</f>
        <v>0</v>
      </c>
      <c r="O353" s="197">
        <f t="shared" ref="O353:X353" si="288">N355</f>
        <v>0</v>
      </c>
      <c r="P353" s="164">
        <f t="shared" si="288"/>
        <v>0</v>
      </c>
      <c r="Q353" s="164">
        <f t="shared" si="288"/>
        <v>0</v>
      </c>
      <c r="R353" s="164">
        <f t="shared" si="288"/>
        <v>0</v>
      </c>
      <c r="S353" s="164">
        <f t="shared" si="288"/>
        <v>0</v>
      </c>
      <c r="T353" s="164">
        <f t="shared" si="288"/>
        <v>0</v>
      </c>
      <c r="U353" s="164">
        <f t="shared" si="288"/>
        <v>0</v>
      </c>
      <c r="V353" s="164">
        <f t="shared" si="288"/>
        <v>0</v>
      </c>
      <c r="W353" s="164">
        <f t="shared" si="288"/>
        <v>0</v>
      </c>
      <c r="X353" s="164">
        <f t="shared" si="288"/>
        <v>0</v>
      </c>
      <c r="Y353" s="164">
        <f t="shared" ref="Y353:AM353" si="289">X355</f>
        <v>0</v>
      </c>
      <c r="Z353" s="164">
        <f t="shared" si="289"/>
        <v>0</v>
      </c>
      <c r="AA353" s="164">
        <f t="shared" si="289"/>
        <v>0</v>
      </c>
      <c r="AB353" s="164">
        <f t="shared" si="289"/>
        <v>0</v>
      </c>
      <c r="AC353" s="164">
        <f t="shared" si="289"/>
        <v>0</v>
      </c>
      <c r="AD353" s="164">
        <f t="shared" si="289"/>
        <v>0</v>
      </c>
      <c r="AE353" s="164">
        <f t="shared" si="289"/>
        <v>0</v>
      </c>
      <c r="AF353" s="164">
        <f t="shared" si="289"/>
        <v>0</v>
      </c>
      <c r="AG353" s="164">
        <f t="shared" si="289"/>
        <v>0</v>
      </c>
      <c r="AH353" s="164">
        <f t="shared" si="289"/>
        <v>0</v>
      </c>
      <c r="AI353" s="164">
        <f t="shared" si="289"/>
        <v>0</v>
      </c>
      <c r="AJ353" s="164">
        <f t="shared" si="289"/>
        <v>0</v>
      </c>
      <c r="AK353" s="164">
        <f t="shared" si="289"/>
        <v>0</v>
      </c>
      <c r="AL353" s="164">
        <f t="shared" si="289"/>
        <v>0</v>
      </c>
      <c r="AM353" s="164">
        <f t="shared" si="289"/>
        <v>0</v>
      </c>
    </row>
    <row r="354" spans="1:39" outlineLevel="1">
      <c r="A354" s="100"/>
      <c r="B354" s="100"/>
      <c r="C354" s="100"/>
      <c r="D354" s="179" t="str">
        <f t="shared" si="283"/>
        <v>Airfield Runway Apron Taxi</v>
      </c>
      <c r="E354" s="165" t="str">
        <f>H686</f>
        <v>Terminal Domestic - Jet</v>
      </c>
      <c r="F354" s="165"/>
      <c r="G354" s="165" t="s">
        <v>78</v>
      </c>
      <c r="H354" s="121"/>
      <c r="I354" s="165"/>
      <c r="J354" s="165"/>
      <c r="K354" s="303"/>
      <c r="L354" s="303"/>
      <c r="M354" s="202"/>
      <c r="N354" s="376">
        <f>[2]OUTPUT!N692</f>
        <v>0</v>
      </c>
      <c r="O354" s="197">
        <f>IFERROR(MIN(O351,O352/'Asset base'!O$102),0)</f>
        <v>0</v>
      </c>
      <c r="P354" s="164">
        <f>IFERROR(MIN(P351,P352/'Asset base'!P$102),0)</f>
        <v>0</v>
      </c>
      <c r="Q354" s="164">
        <f>IFERROR(MIN(Q351,Q352/'Asset base'!Q$102),0)</f>
        <v>0</v>
      </c>
      <c r="R354" s="164">
        <f>IFERROR(MIN(R351,R352/'Asset base'!R$102),0)</f>
        <v>0</v>
      </c>
      <c r="S354" s="164">
        <f>IFERROR(MIN(S351,S352/'Asset base'!S$102),0)</f>
        <v>0</v>
      </c>
      <c r="T354" s="164">
        <f>IFERROR(MIN(T351,T352/'Asset base'!T$102),0)</f>
        <v>0</v>
      </c>
      <c r="U354" s="164">
        <f>IFERROR(MIN(U351,U352/'Asset base'!U$102),0)</f>
        <v>0</v>
      </c>
      <c r="V354" s="164">
        <f>IFERROR(MIN(V351,V352/'Asset base'!V$102),0)</f>
        <v>0</v>
      </c>
      <c r="W354" s="164">
        <f>IFERROR(MIN(W351,W352/'Asset base'!W$102),0)</f>
        <v>0</v>
      </c>
      <c r="X354" s="164">
        <f>IFERROR(MIN(X351,X352/'Asset base'!X$102),0)</f>
        <v>0</v>
      </c>
      <c r="Y354" s="164">
        <f>IFERROR(MIN(Y351,Y352/'Asset base'!Y$102),0)</f>
        <v>0</v>
      </c>
      <c r="Z354" s="164">
        <f>IFERROR(MIN(Z351,Z352/'Asset base'!Z$102),0)</f>
        <v>0</v>
      </c>
      <c r="AA354" s="164">
        <f>IFERROR(MIN(AA351,AA352/'Asset base'!AA$102),0)</f>
        <v>0</v>
      </c>
      <c r="AB354" s="164">
        <f>IFERROR(MIN(AB351,AB352/'Asset base'!AB$102),0)</f>
        <v>0</v>
      </c>
      <c r="AC354" s="164">
        <f>IFERROR(MIN(AC351,AC352/'Asset base'!AC$102),0)</f>
        <v>0</v>
      </c>
      <c r="AD354" s="164">
        <f>IFERROR(MIN(AD351,AD352/'Asset base'!AD$102),0)</f>
        <v>0</v>
      </c>
      <c r="AE354" s="164">
        <f>IFERROR(MIN(AE351,AE352/'Asset base'!AE$102),0)</f>
        <v>0</v>
      </c>
      <c r="AF354" s="164">
        <f>IFERROR(MIN(AF351,AF352/'Asset base'!AF$102),0)</f>
        <v>0</v>
      </c>
      <c r="AG354" s="164">
        <f>IFERROR(MIN(AG351,AG352/'Asset base'!AG$102),0)</f>
        <v>0</v>
      </c>
      <c r="AH354" s="164">
        <f>IFERROR(MIN(AH351,AH352/'Asset base'!AH$102),0)</f>
        <v>0</v>
      </c>
      <c r="AI354" s="164">
        <f>IFERROR(MIN(AI351,AI352/'Asset base'!AI$102),0)</f>
        <v>0</v>
      </c>
      <c r="AJ354" s="164">
        <f>IFERROR(MIN(AJ351,AJ352/'Asset base'!AJ$102),0)</f>
        <v>0</v>
      </c>
      <c r="AK354" s="164">
        <f>IFERROR(MIN(AK351,AK352/'Asset base'!AK$102),0)</f>
        <v>0</v>
      </c>
      <c r="AL354" s="164">
        <f>IFERROR(MIN(AL351,AL352/'Asset base'!AL$102),0)</f>
        <v>0</v>
      </c>
      <c r="AM354" s="164">
        <f>IFERROR(MIN(AM351,AM352/'Asset base'!AM$102),0)</f>
        <v>0</v>
      </c>
    </row>
    <row r="355" spans="1:39" outlineLevel="1">
      <c r="A355" s="100"/>
      <c r="B355" s="100"/>
      <c r="C355" s="100"/>
      <c r="D355" s="179" t="str">
        <f t="shared" si="283"/>
        <v>Airfield Runway Apron Taxi</v>
      </c>
      <c r="E355" s="165" t="str">
        <f>H686</f>
        <v>Terminal Domestic - Jet</v>
      </c>
      <c r="F355" s="165"/>
      <c r="G355" s="165" t="s">
        <v>77</v>
      </c>
      <c r="H355" s="121"/>
      <c r="I355" s="165"/>
      <c r="J355" s="165"/>
      <c r="K355" s="305"/>
      <c r="L355" s="305"/>
      <c r="M355" s="306"/>
      <c r="N355" s="376">
        <f>[2]OUTPUT!N693</f>
        <v>0</v>
      </c>
      <c r="O355" s="197">
        <f t="shared" ref="O355:X355" si="290">SUM(O353:O354)</f>
        <v>0</v>
      </c>
      <c r="P355" s="164">
        <f t="shared" si="290"/>
        <v>0</v>
      </c>
      <c r="Q355" s="164">
        <f t="shared" si="290"/>
        <v>0</v>
      </c>
      <c r="R355" s="164">
        <f t="shared" si="290"/>
        <v>0</v>
      </c>
      <c r="S355" s="164">
        <f t="shared" si="290"/>
        <v>0</v>
      </c>
      <c r="T355" s="164">
        <f t="shared" si="290"/>
        <v>0</v>
      </c>
      <c r="U355" s="164">
        <f t="shared" si="290"/>
        <v>0</v>
      </c>
      <c r="V355" s="164">
        <f t="shared" si="290"/>
        <v>0</v>
      </c>
      <c r="W355" s="164">
        <f t="shared" si="290"/>
        <v>0</v>
      </c>
      <c r="X355" s="164">
        <f t="shared" si="290"/>
        <v>0</v>
      </c>
      <c r="Y355" s="164">
        <f>SUM(Y353:Y354)</f>
        <v>0</v>
      </c>
      <c r="Z355" s="164">
        <f t="shared" ref="Z355:AM355" si="291">SUM(Z353:Z354)</f>
        <v>0</v>
      </c>
      <c r="AA355" s="164">
        <f t="shared" si="291"/>
        <v>0</v>
      </c>
      <c r="AB355" s="164">
        <f t="shared" si="291"/>
        <v>0</v>
      </c>
      <c r="AC355" s="164">
        <f t="shared" si="291"/>
        <v>0</v>
      </c>
      <c r="AD355" s="164">
        <f t="shared" si="291"/>
        <v>0</v>
      </c>
      <c r="AE355" s="164">
        <f t="shared" si="291"/>
        <v>0</v>
      </c>
      <c r="AF355" s="164">
        <f t="shared" si="291"/>
        <v>0</v>
      </c>
      <c r="AG355" s="164">
        <f t="shared" si="291"/>
        <v>0</v>
      </c>
      <c r="AH355" s="164">
        <f t="shared" si="291"/>
        <v>0</v>
      </c>
      <c r="AI355" s="164">
        <f t="shared" si="291"/>
        <v>0</v>
      </c>
      <c r="AJ355" s="164">
        <f t="shared" si="291"/>
        <v>0</v>
      </c>
      <c r="AK355" s="164">
        <f t="shared" si="291"/>
        <v>0</v>
      </c>
      <c r="AL355" s="164">
        <f t="shared" si="291"/>
        <v>0</v>
      </c>
      <c r="AM355" s="164">
        <f t="shared" si="291"/>
        <v>0</v>
      </c>
    </row>
    <row r="356" spans="1:39" outlineLevel="1">
      <c r="A356" s="100"/>
      <c r="B356" s="100"/>
      <c r="C356" s="100"/>
      <c r="D356" s="179" t="str">
        <f t="shared" si="283"/>
        <v>Airfield Runway Apron Taxi</v>
      </c>
      <c r="E356" s="165" t="str">
        <f>H686</f>
        <v>Terminal Domestic - Jet</v>
      </c>
      <c r="F356" s="165"/>
      <c r="G356" s="200" t="s">
        <v>76</v>
      </c>
      <c r="H356" s="201"/>
      <c r="I356" s="200"/>
      <c r="J356" s="200"/>
      <c r="K356" s="199">
        <f t="shared" ref="K356:S356" si="292">K352-K355</f>
        <v>0</v>
      </c>
      <c r="L356" s="198">
        <f t="shared" si="292"/>
        <v>0</v>
      </c>
      <c r="M356" s="227">
        <f>N351</f>
        <v>0</v>
      </c>
      <c r="N356" s="541">
        <f>'[7]2008-2012 Asset Mov''t Revised'!$AA$80</f>
        <v>0</v>
      </c>
      <c r="O356" s="199">
        <f t="shared" si="292"/>
        <v>0</v>
      </c>
      <c r="P356" s="198">
        <f t="shared" si="292"/>
        <v>0</v>
      </c>
      <c r="Q356" s="198">
        <f t="shared" si="292"/>
        <v>0</v>
      </c>
      <c r="R356" s="198">
        <f t="shared" si="292"/>
        <v>0</v>
      </c>
      <c r="S356" s="198">
        <f t="shared" si="292"/>
        <v>0</v>
      </c>
      <c r="T356" s="198">
        <f t="shared" ref="T356:AM356" si="293">T352-T355</f>
        <v>0</v>
      </c>
      <c r="U356" s="198">
        <f t="shared" si="293"/>
        <v>0</v>
      </c>
      <c r="V356" s="198">
        <f t="shared" si="293"/>
        <v>0</v>
      </c>
      <c r="W356" s="198">
        <f t="shared" si="293"/>
        <v>0</v>
      </c>
      <c r="X356" s="198">
        <f t="shared" si="293"/>
        <v>0</v>
      </c>
      <c r="Y356" s="198">
        <f t="shared" si="293"/>
        <v>0</v>
      </c>
      <c r="Z356" s="198">
        <f t="shared" si="293"/>
        <v>0</v>
      </c>
      <c r="AA356" s="198">
        <f t="shared" si="293"/>
        <v>0</v>
      </c>
      <c r="AB356" s="198">
        <f t="shared" si="293"/>
        <v>0</v>
      </c>
      <c r="AC356" s="198">
        <f t="shared" si="293"/>
        <v>0</v>
      </c>
      <c r="AD356" s="198">
        <f t="shared" si="293"/>
        <v>0</v>
      </c>
      <c r="AE356" s="198">
        <f t="shared" si="293"/>
        <v>0</v>
      </c>
      <c r="AF356" s="198">
        <f t="shared" si="293"/>
        <v>0</v>
      </c>
      <c r="AG356" s="198">
        <f t="shared" si="293"/>
        <v>0</v>
      </c>
      <c r="AH356" s="198">
        <f t="shared" si="293"/>
        <v>0</v>
      </c>
      <c r="AI356" s="198">
        <f t="shared" si="293"/>
        <v>0</v>
      </c>
      <c r="AJ356" s="198">
        <f t="shared" si="293"/>
        <v>0</v>
      </c>
      <c r="AK356" s="198">
        <f t="shared" si="293"/>
        <v>0</v>
      </c>
      <c r="AL356" s="198">
        <f t="shared" si="293"/>
        <v>0</v>
      </c>
      <c r="AM356" s="198">
        <f t="shared" si="293"/>
        <v>0</v>
      </c>
    </row>
    <row r="357" spans="1:39" outlineLevel="1">
      <c r="A357" s="100"/>
      <c r="B357" s="100"/>
      <c r="C357" s="100"/>
      <c r="D357" s="179"/>
      <c r="E357" s="165"/>
      <c r="F357" s="165"/>
      <c r="G357" s="165"/>
      <c r="H357" s="121"/>
      <c r="I357" s="165"/>
      <c r="J357" s="165"/>
      <c r="K357" s="197"/>
      <c r="L357" s="164"/>
      <c r="M357" s="227"/>
      <c r="N357" s="203"/>
      <c r="O357" s="197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</row>
    <row r="358" spans="1:39" outlineLevel="1">
      <c r="A358" s="100"/>
      <c r="B358" s="100"/>
      <c r="C358" s="100"/>
      <c r="D358" s="179"/>
      <c r="E358" s="165"/>
      <c r="F358" s="165"/>
      <c r="G358" s="206" t="str">
        <f>G742</f>
        <v>Infrastructure</v>
      </c>
      <c r="H358" s="121"/>
      <c r="I358" s="165"/>
      <c r="J358" s="165"/>
      <c r="K358" s="204"/>
      <c r="L358" s="164"/>
      <c r="M358" s="227"/>
      <c r="N358" s="203"/>
      <c r="O358" s="197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  <c r="AF358" s="165"/>
      <c r="AG358" s="165"/>
      <c r="AH358" s="165"/>
      <c r="AI358" s="165"/>
      <c r="AJ358" s="165"/>
      <c r="AK358" s="165"/>
      <c r="AL358" s="165"/>
      <c r="AM358" s="165"/>
    </row>
    <row r="359" spans="1:39" outlineLevel="1">
      <c r="A359" s="100"/>
      <c r="B359" s="100"/>
      <c r="C359" s="100"/>
      <c r="D359" s="179"/>
      <c r="E359" s="165"/>
      <c r="F359" s="165"/>
      <c r="G359" s="205"/>
      <c r="H359" s="121"/>
      <c r="I359" s="165"/>
      <c r="J359" s="165"/>
      <c r="K359" s="207"/>
      <c r="L359" s="164"/>
      <c r="M359" s="227"/>
      <c r="N359" s="203"/>
      <c r="O359" s="197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  <c r="AA359" s="165"/>
      <c r="AB359" s="165"/>
      <c r="AC359" s="165"/>
      <c r="AD359" s="165"/>
      <c r="AE359" s="165"/>
      <c r="AF359" s="165"/>
      <c r="AG359" s="165"/>
      <c r="AH359" s="165"/>
      <c r="AI359" s="165"/>
      <c r="AJ359" s="165"/>
      <c r="AK359" s="165"/>
      <c r="AL359" s="165"/>
      <c r="AM359" s="165"/>
    </row>
    <row r="360" spans="1:39" outlineLevel="1">
      <c r="A360" s="100"/>
      <c r="B360" s="100"/>
      <c r="C360" s="100"/>
      <c r="D360" s="179" t="str">
        <f t="shared" ref="D360:D365" si="294">$G$554</f>
        <v>Infrastructure</v>
      </c>
      <c r="E360" s="165" t="str">
        <f>H686</f>
        <v>Terminal Domestic - Jet</v>
      </c>
      <c r="F360" s="165"/>
      <c r="G360" s="165" t="s">
        <v>80</v>
      </c>
      <c r="H360" s="121"/>
      <c r="I360" s="165"/>
      <c r="J360" s="165"/>
      <c r="K360" s="164"/>
      <c r="L360" s="164"/>
      <c r="M360" s="227"/>
      <c r="N360" s="376"/>
      <c r="O360" s="197">
        <f t="shared" ref="O360:X360" si="295">N365</f>
        <v>68831.460954112423</v>
      </c>
      <c r="P360" s="164">
        <f t="shared" si="295"/>
        <v>61948.314858701182</v>
      </c>
      <c r="Q360" s="164">
        <f t="shared" si="295"/>
        <v>55065.168763289941</v>
      </c>
      <c r="R360" s="164">
        <f t="shared" si="295"/>
        <v>48182.022667878693</v>
      </c>
      <c r="S360" s="164">
        <f t="shared" si="295"/>
        <v>41298.876572467452</v>
      </c>
      <c r="T360" s="164">
        <f t="shared" si="295"/>
        <v>34415.730477056211</v>
      </c>
      <c r="U360" s="164">
        <f t="shared" si="295"/>
        <v>27532.584381644971</v>
      </c>
      <c r="V360" s="164">
        <f t="shared" si="295"/>
        <v>20649.43828623373</v>
      </c>
      <c r="W360" s="164">
        <f t="shared" si="295"/>
        <v>13766.292190822489</v>
      </c>
      <c r="X360" s="164">
        <f t="shared" si="295"/>
        <v>6883.1460954112481</v>
      </c>
      <c r="Y360" s="164">
        <f t="shared" ref="Y360:AM360" si="296">X365</f>
        <v>0</v>
      </c>
      <c r="Z360" s="164">
        <f t="shared" si="296"/>
        <v>0</v>
      </c>
      <c r="AA360" s="164">
        <f t="shared" si="296"/>
        <v>0</v>
      </c>
      <c r="AB360" s="164">
        <f t="shared" si="296"/>
        <v>0</v>
      </c>
      <c r="AC360" s="164">
        <f t="shared" si="296"/>
        <v>0</v>
      </c>
      <c r="AD360" s="164">
        <f t="shared" si="296"/>
        <v>0</v>
      </c>
      <c r="AE360" s="164">
        <f t="shared" si="296"/>
        <v>0</v>
      </c>
      <c r="AF360" s="164">
        <f t="shared" si="296"/>
        <v>0</v>
      </c>
      <c r="AG360" s="164">
        <f t="shared" si="296"/>
        <v>0</v>
      </c>
      <c r="AH360" s="164">
        <f t="shared" si="296"/>
        <v>0</v>
      </c>
      <c r="AI360" s="164">
        <f t="shared" si="296"/>
        <v>0</v>
      </c>
      <c r="AJ360" s="164">
        <f t="shared" si="296"/>
        <v>0</v>
      </c>
      <c r="AK360" s="164">
        <f t="shared" si="296"/>
        <v>0</v>
      </c>
      <c r="AL360" s="164">
        <f t="shared" si="296"/>
        <v>0</v>
      </c>
      <c r="AM360" s="164">
        <f t="shared" si="296"/>
        <v>0</v>
      </c>
    </row>
    <row r="361" spans="1:39" outlineLevel="1">
      <c r="A361" s="100"/>
      <c r="B361" s="100"/>
      <c r="C361" s="100"/>
      <c r="D361" s="179" t="str">
        <f t="shared" si="294"/>
        <v>Infrastructure</v>
      </c>
      <c r="E361" s="165" t="str">
        <f>H686</f>
        <v>Terminal Domestic - Jet</v>
      </c>
      <c r="F361" s="165"/>
      <c r="G361" s="165" t="s">
        <v>60</v>
      </c>
      <c r="H361" s="121"/>
      <c r="I361" s="165"/>
      <c r="J361" s="165"/>
      <c r="K361" s="303"/>
      <c r="L361" s="303"/>
      <c r="M361" s="304"/>
      <c r="N361" s="376"/>
      <c r="O361" s="197">
        <f>N365</f>
        <v>68831.460954112423</v>
      </c>
      <c r="P361" s="164">
        <f t="shared" ref="P361:X361" si="297">O361</f>
        <v>68831.460954112423</v>
      </c>
      <c r="Q361" s="164">
        <f t="shared" si="297"/>
        <v>68831.460954112423</v>
      </c>
      <c r="R361" s="164">
        <f t="shared" si="297"/>
        <v>68831.460954112423</v>
      </c>
      <c r="S361" s="164">
        <f t="shared" si="297"/>
        <v>68831.460954112423</v>
      </c>
      <c r="T361" s="164">
        <f t="shared" si="297"/>
        <v>68831.460954112423</v>
      </c>
      <c r="U361" s="164">
        <f t="shared" si="297"/>
        <v>68831.460954112423</v>
      </c>
      <c r="V361" s="164">
        <f t="shared" si="297"/>
        <v>68831.460954112423</v>
      </c>
      <c r="W361" s="164">
        <f t="shared" si="297"/>
        <v>68831.460954112423</v>
      </c>
      <c r="X361" s="164">
        <f t="shared" si="297"/>
        <v>68831.460954112423</v>
      </c>
      <c r="Y361" s="164">
        <f t="shared" ref="Y361:AM361" si="298">X361</f>
        <v>68831.460954112423</v>
      </c>
      <c r="Z361" s="164">
        <f t="shared" si="298"/>
        <v>68831.460954112423</v>
      </c>
      <c r="AA361" s="164">
        <f t="shared" si="298"/>
        <v>68831.460954112423</v>
      </c>
      <c r="AB361" s="164">
        <f t="shared" si="298"/>
        <v>68831.460954112423</v>
      </c>
      <c r="AC361" s="164">
        <f t="shared" si="298"/>
        <v>68831.460954112423</v>
      </c>
      <c r="AD361" s="164">
        <f t="shared" si="298"/>
        <v>68831.460954112423</v>
      </c>
      <c r="AE361" s="164">
        <f t="shared" si="298"/>
        <v>68831.460954112423</v>
      </c>
      <c r="AF361" s="164">
        <f t="shared" si="298"/>
        <v>68831.460954112423</v>
      </c>
      <c r="AG361" s="164">
        <f t="shared" si="298"/>
        <v>68831.460954112423</v>
      </c>
      <c r="AH361" s="164">
        <f t="shared" si="298"/>
        <v>68831.460954112423</v>
      </c>
      <c r="AI361" s="164">
        <f t="shared" si="298"/>
        <v>68831.460954112423</v>
      </c>
      <c r="AJ361" s="164">
        <f t="shared" si="298"/>
        <v>68831.460954112423</v>
      </c>
      <c r="AK361" s="164">
        <f t="shared" si="298"/>
        <v>68831.460954112423</v>
      </c>
      <c r="AL361" s="164">
        <f t="shared" si="298"/>
        <v>68831.460954112423</v>
      </c>
      <c r="AM361" s="164">
        <f t="shared" si="298"/>
        <v>68831.460954112423</v>
      </c>
    </row>
    <row r="362" spans="1:39" outlineLevel="1">
      <c r="A362" s="100"/>
      <c r="B362" s="100"/>
      <c r="C362" s="100"/>
      <c r="D362" s="179" t="str">
        <f t="shared" si="294"/>
        <v>Infrastructure</v>
      </c>
      <c r="E362" s="165" t="str">
        <f>H686</f>
        <v>Terminal Domestic - Jet</v>
      </c>
      <c r="F362" s="165"/>
      <c r="G362" s="165" t="s">
        <v>79</v>
      </c>
      <c r="H362" s="121"/>
      <c r="I362" s="165"/>
      <c r="J362" s="165"/>
      <c r="K362" s="303"/>
      <c r="L362" s="303"/>
      <c r="M362" s="202"/>
      <c r="N362" s="376"/>
      <c r="O362" s="197">
        <f t="shared" ref="O362:X362" si="299">N364</f>
        <v>0</v>
      </c>
      <c r="P362" s="164">
        <f t="shared" si="299"/>
        <v>6883.1460954112426</v>
      </c>
      <c r="Q362" s="164">
        <f t="shared" si="299"/>
        <v>13766.292190822485</v>
      </c>
      <c r="R362" s="164">
        <f t="shared" si="299"/>
        <v>20649.43828623373</v>
      </c>
      <c r="S362" s="164">
        <f t="shared" si="299"/>
        <v>27532.584381644971</v>
      </c>
      <c r="T362" s="164">
        <f t="shared" si="299"/>
        <v>34415.730477056211</v>
      </c>
      <c r="U362" s="164">
        <f t="shared" si="299"/>
        <v>41298.876572467452</v>
      </c>
      <c r="V362" s="164">
        <f t="shared" si="299"/>
        <v>48182.022667878693</v>
      </c>
      <c r="W362" s="164">
        <f t="shared" si="299"/>
        <v>55065.168763289934</v>
      </c>
      <c r="X362" s="164">
        <f t="shared" si="299"/>
        <v>61948.314858701175</v>
      </c>
      <c r="Y362" s="164">
        <f t="shared" ref="Y362:AM362" si="300">X364</f>
        <v>68831.460954112423</v>
      </c>
      <c r="Z362" s="164">
        <f t="shared" si="300"/>
        <v>68831.460954112423</v>
      </c>
      <c r="AA362" s="164">
        <f t="shared" si="300"/>
        <v>68831.460954112423</v>
      </c>
      <c r="AB362" s="164">
        <f t="shared" si="300"/>
        <v>68831.460954112423</v>
      </c>
      <c r="AC362" s="164">
        <f t="shared" si="300"/>
        <v>68831.460954112423</v>
      </c>
      <c r="AD362" s="164">
        <f t="shared" si="300"/>
        <v>68831.460954112423</v>
      </c>
      <c r="AE362" s="164">
        <f t="shared" si="300"/>
        <v>68831.460954112423</v>
      </c>
      <c r="AF362" s="164">
        <f t="shared" si="300"/>
        <v>68831.460954112423</v>
      </c>
      <c r="AG362" s="164">
        <f t="shared" si="300"/>
        <v>68831.460954112423</v>
      </c>
      <c r="AH362" s="164">
        <f t="shared" si="300"/>
        <v>68831.460954112423</v>
      </c>
      <c r="AI362" s="164">
        <f t="shared" si="300"/>
        <v>68831.460954112423</v>
      </c>
      <c r="AJ362" s="164">
        <f t="shared" si="300"/>
        <v>68831.460954112423</v>
      </c>
      <c r="AK362" s="164">
        <f t="shared" si="300"/>
        <v>68831.460954112423</v>
      </c>
      <c r="AL362" s="164">
        <f t="shared" si="300"/>
        <v>68831.460954112423</v>
      </c>
      <c r="AM362" s="164">
        <f t="shared" si="300"/>
        <v>68831.460954112423</v>
      </c>
    </row>
    <row r="363" spans="1:39" outlineLevel="1">
      <c r="A363" s="100"/>
      <c r="B363" s="100"/>
      <c r="C363" s="100"/>
      <c r="D363" s="179" t="str">
        <f t="shared" si="294"/>
        <v>Infrastructure</v>
      </c>
      <c r="E363" s="165" t="str">
        <f>H686</f>
        <v>Terminal Domestic - Jet</v>
      </c>
      <c r="F363" s="165"/>
      <c r="G363" s="165" t="s">
        <v>78</v>
      </c>
      <c r="H363" s="121"/>
      <c r="I363" s="165"/>
      <c r="J363" s="165"/>
      <c r="K363" s="303"/>
      <c r="L363" s="303"/>
      <c r="M363" s="202"/>
      <c r="N363" s="376"/>
      <c r="O363" s="197">
        <f>IFERROR(MIN(O360,O361/'Asset base'!O$103),0)</f>
        <v>6883.1460954112426</v>
      </c>
      <c r="P363" s="164">
        <f>IFERROR(MIN(P360,P361/'Asset base'!P$103),0)</f>
        <v>6883.1460954112426</v>
      </c>
      <c r="Q363" s="164">
        <f>IFERROR(MIN(Q360,Q361/'Asset base'!Q$103),0)</f>
        <v>6883.1460954112426</v>
      </c>
      <c r="R363" s="164">
        <f>IFERROR(MIN(R360,R361/'Asset base'!R$103),0)</f>
        <v>6883.1460954112426</v>
      </c>
      <c r="S363" s="164">
        <f>IFERROR(MIN(S360,S361/'Asset base'!S$103),0)</f>
        <v>6883.1460954112426</v>
      </c>
      <c r="T363" s="164">
        <f>IFERROR(MIN(T360,T361/'Asset base'!T$103),0)</f>
        <v>6883.1460954112426</v>
      </c>
      <c r="U363" s="164">
        <f>IFERROR(MIN(U360,U361/'Asset base'!U$103),0)</f>
        <v>6883.1460954112426</v>
      </c>
      <c r="V363" s="164">
        <f>IFERROR(MIN(V360,V361/'Asset base'!V$103),0)</f>
        <v>6883.1460954112426</v>
      </c>
      <c r="W363" s="164">
        <f>IFERROR(MIN(W360,W361/'Asset base'!W$103),0)</f>
        <v>6883.1460954112426</v>
      </c>
      <c r="X363" s="164">
        <f>IFERROR(MIN(X360,X361/'Asset base'!X$103),0)</f>
        <v>6883.1460954112426</v>
      </c>
      <c r="Y363" s="164">
        <f>IFERROR(MIN(Y360,Y361/'Asset base'!Y$103),0)</f>
        <v>0</v>
      </c>
      <c r="Z363" s="164">
        <f>IFERROR(MIN(Z360,Z361/'Asset base'!Z$103),0)</f>
        <v>0</v>
      </c>
      <c r="AA363" s="164">
        <f>IFERROR(MIN(AA360,AA361/'Asset base'!AA$103),0)</f>
        <v>0</v>
      </c>
      <c r="AB363" s="164">
        <f>IFERROR(MIN(AB360,AB361/'Asset base'!AB$103),0)</f>
        <v>0</v>
      </c>
      <c r="AC363" s="164">
        <f>IFERROR(MIN(AC360,AC361/'Asset base'!AC$103),0)</f>
        <v>0</v>
      </c>
      <c r="AD363" s="164">
        <f>IFERROR(MIN(AD360,AD361/'Asset base'!AD$103),0)</f>
        <v>0</v>
      </c>
      <c r="AE363" s="164">
        <f>IFERROR(MIN(AE360,AE361/'Asset base'!AE$103),0)</f>
        <v>0</v>
      </c>
      <c r="AF363" s="164">
        <f>IFERROR(MIN(AF360,AF361/'Asset base'!AF$103),0)</f>
        <v>0</v>
      </c>
      <c r="AG363" s="164">
        <f>IFERROR(MIN(AG360,AG361/'Asset base'!AG$103),0)</f>
        <v>0</v>
      </c>
      <c r="AH363" s="164">
        <f>IFERROR(MIN(AH360,AH361/'Asset base'!AH$103),0)</f>
        <v>0</v>
      </c>
      <c r="AI363" s="164">
        <f>IFERROR(MIN(AI360,AI361/'Asset base'!AI$103),0)</f>
        <v>0</v>
      </c>
      <c r="AJ363" s="164">
        <f>IFERROR(MIN(AJ360,AJ361/'Asset base'!AJ$103),0)</f>
        <v>0</v>
      </c>
      <c r="AK363" s="164">
        <f>IFERROR(MIN(AK360,AK361/'Asset base'!AK$103),0)</f>
        <v>0</v>
      </c>
      <c r="AL363" s="164">
        <f>IFERROR(MIN(AL360,AL361/'Asset base'!AL$103),0)</f>
        <v>0</v>
      </c>
      <c r="AM363" s="164">
        <f>IFERROR(MIN(AM360,AM361/'Asset base'!AM$103),0)</f>
        <v>0</v>
      </c>
    </row>
    <row r="364" spans="1:39" outlineLevel="1">
      <c r="A364" s="100"/>
      <c r="B364" s="100"/>
      <c r="C364" s="100"/>
      <c r="D364" s="179" t="str">
        <f t="shared" si="294"/>
        <v>Infrastructure</v>
      </c>
      <c r="E364" s="165" t="str">
        <f>H686</f>
        <v>Terminal Domestic - Jet</v>
      </c>
      <c r="F364" s="165"/>
      <c r="G364" s="165" t="s">
        <v>77</v>
      </c>
      <c r="H364" s="121"/>
      <c r="I364" s="165"/>
      <c r="J364" s="165"/>
      <c r="K364" s="305"/>
      <c r="L364" s="305"/>
      <c r="M364" s="306"/>
      <c r="N364" s="376"/>
      <c r="O364" s="197">
        <f t="shared" ref="O364:X364" si="301">SUM(O362:O363)</f>
        <v>6883.1460954112426</v>
      </c>
      <c r="P364" s="164">
        <f t="shared" si="301"/>
        <v>13766.292190822485</v>
      </c>
      <c r="Q364" s="164">
        <f t="shared" si="301"/>
        <v>20649.43828623373</v>
      </c>
      <c r="R364" s="164">
        <f t="shared" si="301"/>
        <v>27532.584381644971</v>
      </c>
      <c r="S364" s="164">
        <f t="shared" si="301"/>
        <v>34415.730477056211</v>
      </c>
      <c r="T364" s="164">
        <f t="shared" si="301"/>
        <v>41298.876572467452</v>
      </c>
      <c r="U364" s="164">
        <f t="shared" si="301"/>
        <v>48182.022667878693</v>
      </c>
      <c r="V364" s="164">
        <f t="shared" si="301"/>
        <v>55065.168763289934</v>
      </c>
      <c r="W364" s="164">
        <f t="shared" si="301"/>
        <v>61948.314858701175</v>
      </c>
      <c r="X364" s="164">
        <f t="shared" si="301"/>
        <v>68831.460954112423</v>
      </c>
      <c r="Y364" s="164">
        <f>SUM(Y362:Y363)</f>
        <v>68831.460954112423</v>
      </c>
      <c r="Z364" s="164">
        <f t="shared" ref="Z364:AM364" si="302">SUM(Z362:Z363)</f>
        <v>68831.460954112423</v>
      </c>
      <c r="AA364" s="164">
        <f t="shared" si="302"/>
        <v>68831.460954112423</v>
      </c>
      <c r="AB364" s="164">
        <f t="shared" si="302"/>
        <v>68831.460954112423</v>
      </c>
      <c r="AC364" s="164">
        <f t="shared" si="302"/>
        <v>68831.460954112423</v>
      </c>
      <c r="AD364" s="164">
        <f t="shared" si="302"/>
        <v>68831.460954112423</v>
      </c>
      <c r="AE364" s="164">
        <f t="shared" si="302"/>
        <v>68831.460954112423</v>
      </c>
      <c r="AF364" s="164">
        <f t="shared" si="302"/>
        <v>68831.460954112423</v>
      </c>
      <c r="AG364" s="164">
        <f t="shared" si="302"/>
        <v>68831.460954112423</v>
      </c>
      <c r="AH364" s="164">
        <f t="shared" si="302"/>
        <v>68831.460954112423</v>
      </c>
      <c r="AI364" s="164">
        <f t="shared" si="302"/>
        <v>68831.460954112423</v>
      </c>
      <c r="AJ364" s="164">
        <f t="shared" si="302"/>
        <v>68831.460954112423</v>
      </c>
      <c r="AK364" s="164">
        <f t="shared" si="302"/>
        <v>68831.460954112423</v>
      </c>
      <c r="AL364" s="164">
        <f t="shared" si="302"/>
        <v>68831.460954112423</v>
      </c>
      <c r="AM364" s="164">
        <f t="shared" si="302"/>
        <v>68831.460954112423</v>
      </c>
    </row>
    <row r="365" spans="1:39" outlineLevel="1">
      <c r="A365" s="100"/>
      <c r="B365" s="100"/>
      <c r="C365" s="100"/>
      <c r="D365" s="179" t="str">
        <f t="shared" si="294"/>
        <v>Infrastructure</v>
      </c>
      <c r="E365" s="165" t="str">
        <f>H686</f>
        <v>Terminal Domestic - Jet</v>
      </c>
      <c r="F365" s="165"/>
      <c r="G365" s="200" t="s">
        <v>76</v>
      </c>
      <c r="H365" s="201"/>
      <c r="I365" s="200"/>
      <c r="J365" s="200"/>
      <c r="K365" s="198">
        <f t="shared" ref="K365:S365" si="303">K361-K364</f>
        <v>0</v>
      </c>
      <c r="L365" s="198">
        <f t="shared" si="303"/>
        <v>0</v>
      </c>
      <c r="M365" s="227">
        <f>N360</f>
        <v>0</v>
      </c>
      <c r="N365" s="541">
        <f>'[7]2008-2012 Asset Mov''t Revised'!$AA$81</f>
        <v>68831.460954112423</v>
      </c>
      <c r="O365" s="199">
        <f t="shared" si="303"/>
        <v>61948.314858701182</v>
      </c>
      <c r="P365" s="198">
        <f t="shared" si="303"/>
        <v>55065.168763289941</v>
      </c>
      <c r="Q365" s="198">
        <f t="shared" si="303"/>
        <v>48182.022667878693</v>
      </c>
      <c r="R365" s="198">
        <f t="shared" si="303"/>
        <v>41298.876572467452</v>
      </c>
      <c r="S365" s="198">
        <f t="shared" si="303"/>
        <v>34415.730477056211</v>
      </c>
      <c r="T365" s="198">
        <f t="shared" ref="T365:AM365" si="304">T361-T364</f>
        <v>27532.584381644971</v>
      </c>
      <c r="U365" s="198">
        <f t="shared" si="304"/>
        <v>20649.43828623373</v>
      </c>
      <c r="V365" s="198">
        <f t="shared" si="304"/>
        <v>13766.292190822489</v>
      </c>
      <c r="W365" s="198">
        <f t="shared" si="304"/>
        <v>6883.1460954112481</v>
      </c>
      <c r="X365" s="198">
        <f t="shared" si="304"/>
        <v>0</v>
      </c>
      <c r="Y365" s="198">
        <f t="shared" si="304"/>
        <v>0</v>
      </c>
      <c r="Z365" s="198">
        <f t="shared" si="304"/>
        <v>0</v>
      </c>
      <c r="AA365" s="198">
        <f t="shared" si="304"/>
        <v>0</v>
      </c>
      <c r="AB365" s="198">
        <f t="shared" si="304"/>
        <v>0</v>
      </c>
      <c r="AC365" s="198">
        <f t="shared" si="304"/>
        <v>0</v>
      </c>
      <c r="AD365" s="198">
        <f t="shared" si="304"/>
        <v>0</v>
      </c>
      <c r="AE365" s="198">
        <f t="shared" si="304"/>
        <v>0</v>
      </c>
      <c r="AF365" s="198">
        <f t="shared" si="304"/>
        <v>0</v>
      </c>
      <c r="AG365" s="198">
        <f t="shared" si="304"/>
        <v>0</v>
      </c>
      <c r="AH365" s="198">
        <f t="shared" si="304"/>
        <v>0</v>
      </c>
      <c r="AI365" s="198">
        <f t="shared" si="304"/>
        <v>0</v>
      </c>
      <c r="AJ365" s="198">
        <f t="shared" si="304"/>
        <v>0</v>
      </c>
      <c r="AK365" s="198">
        <f t="shared" si="304"/>
        <v>0</v>
      </c>
      <c r="AL365" s="198">
        <f t="shared" si="304"/>
        <v>0</v>
      </c>
      <c r="AM365" s="198">
        <f t="shared" si="304"/>
        <v>0</v>
      </c>
    </row>
    <row r="366" spans="1:39" outlineLevel="1">
      <c r="A366" s="100"/>
      <c r="B366" s="100"/>
      <c r="C366" s="100"/>
      <c r="D366" s="179"/>
      <c r="E366" s="165"/>
      <c r="F366" s="165"/>
      <c r="G366" s="165"/>
      <c r="H366" s="121"/>
      <c r="I366" s="165"/>
      <c r="J366" s="165"/>
      <c r="K366" s="164"/>
      <c r="L366" s="164"/>
      <c r="M366" s="227"/>
      <c r="N366" s="203"/>
      <c r="O366" s="197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</row>
    <row r="367" spans="1:39" outlineLevel="1">
      <c r="A367" s="100"/>
      <c r="B367" s="100"/>
      <c r="C367" s="100"/>
      <c r="D367" s="179"/>
      <c r="E367" s="165"/>
      <c r="F367" s="165"/>
      <c r="G367" s="206" t="str">
        <f>G751</f>
        <v>Terminal facilities</v>
      </c>
      <c r="H367" s="121"/>
      <c r="I367" s="165"/>
      <c r="J367" s="165"/>
      <c r="K367" s="207"/>
      <c r="L367" s="164"/>
      <c r="M367" s="227"/>
      <c r="N367" s="203"/>
      <c r="O367" s="197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  <c r="AA367" s="165"/>
      <c r="AB367" s="165"/>
      <c r="AC367" s="165"/>
      <c r="AD367" s="165"/>
      <c r="AE367" s="165"/>
      <c r="AF367" s="165"/>
      <c r="AG367" s="165"/>
      <c r="AH367" s="165"/>
      <c r="AI367" s="165"/>
      <c r="AJ367" s="165"/>
      <c r="AK367" s="165"/>
      <c r="AL367" s="165"/>
      <c r="AM367" s="165"/>
    </row>
    <row r="368" spans="1:39" outlineLevel="1">
      <c r="A368" s="100"/>
      <c r="B368" s="100"/>
      <c r="C368" s="100"/>
      <c r="D368" s="179"/>
      <c r="E368" s="165"/>
      <c r="F368" s="165"/>
      <c r="G368" s="205"/>
      <c r="H368" s="121"/>
      <c r="I368" s="165"/>
      <c r="J368" s="165"/>
      <c r="K368" s="234"/>
      <c r="L368" s="234"/>
      <c r="M368" s="233"/>
      <c r="N368" s="203"/>
      <c r="O368" s="197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  <c r="AA368" s="165"/>
      <c r="AB368" s="165"/>
      <c r="AC368" s="165"/>
      <c r="AD368" s="165"/>
      <c r="AE368" s="165"/>
      <c r="AF368" s="165"/>
      <c r="AG368" s="165"/>
      <c r="AH368" s="165"/>
      <c r="AI368" s="165"/>
      <c r="AJ368" s="165"/>
      <c r="AK368" s="165"/>
      <c r="AL368" s="165"/>
      <c r="AM368" s="165"/>
    </row>
    <row r="369" spans="1:39" outlineLevel="1">
      <c r="A369" s="100"/>
      <c r="B369" s="100"/>
      <c r="C369" s="100"/>
      <c r="D369" s="179" t="str">
        <f t="shared" ref="D369:D374" si="305">$G$563</f>
        <v>Terminal facilities</v>
      </c>
      <c r="E369" s="165" t="str">
        <f>H686</f>
        <v>Terminal Domestic - Jet</v>
      </c>
      <c r="F369" s="165"/>
      <c r="G369" s="165" t="s">
        <v>80</v>
      </c>
      <c r="H369" s="121"/>
      <c r="I369" s="165"/>
      <c r="J369" s="165"/>
      <c r="K369" s="164"/>
      <c r="L369" s="164"/>
      <c r="M369" s="227"/>
      <c r="N369" s="376"/>
      <c r="O369" s="197">
        <f t="shared" ref="O369:X369" si="306">N374</f>
        <v>81083053.507438153</v>
      </c>
      <c r="P369" s="164">
        <f t="shared" si="306"/>
        <v>78079977.451607108</v>
      </c>
      <c r="Q369" s="164">
        <f t="shared" si="306"/>
        <v>75076901.395776063</v>
      </c>
      <c r="R369" s="164">
        <f t="shared" si="306"/>
        <v>72073825.339945018</v>
      </c>
      <c r="S369" s="164">
        <f t="shared" si="306"/>
        <v>69070749.284113988</v>
      </c>
      <c r="T369" s="164">
        <f t="shared" si="306"/>
        <v>66067673.228282943</v>
      </c>
      <c r="U369" s="164">
        <f t="shared" si="306"/>
        <v>63064597.172451898</v>
      </c>
      <c r="V369" s="164">
        <f t="shared" si="306"/>
        <v>60061521.116620854</v>
      </c>
      <c r="W369" s="164">
        <f t="shared" si="306"/>
        <v>57058445.060789816</v>
      </c>
      <c r="X369" s="164">
        <f t="shared" si="306"/>
        <v>54055369.004958779</v>
      </c>
      <c r="Y369" s="164">
        <f t="shared" ref="Y369:AM369" si="307">X374</f>
        <v>51052292.949127734</v>
      </c>
      <c r="Z369" s="164">
        <f t="shared" si="307"/>
        <v>48049216.893296689</v>
      </c>
      <c r="AA369" s="164">
        <f t="shared" si="307"/>
        <v>45046140.837465651</v>
      </c>
      <c r="AB369" s="164">
        <f t="shared" si="307"/>
        <v>42043064.781634606</v>
      </c>
      <c r="AC369" s="164">
        <f t="shared" si="307"/>
        <v>39039988.725803562</v>
      </c>
      <c r="AD369" s="164">
        <f t="shared" si="307"/>
        <v>36036912.669972517</v>
      </c>
      <c r="AE369" s="164">
        <f t="shared" si="307"/>
        <v>33033836.614141472</v>
      </c>
      <c r="AF369" s="164">
        <f t="shared" si="307"/>
        <v>30030760.558310427</v>
      </c>
      <c r="AG369" s="164">
        <f t="shared" si="307"/>
        <v>27027684.502479382</v>
      </c>
      <c r="AH369" s="164">
        <f t="shared" si="307"/>
        <v>24024608.446648337</v>
      </c>
      <c r="AI369" s="164">
        <f t="shared" si="307"/>
        <v>21021532.390817292</v>
      </c>
      <c r="AJ369" s="164">
        <f t="shared" si="307"/>
        <v>18018456.334986247</v>
      </c>
      <c r="AK369" s="164">
        <f t="shared" si="307"/>
        <v>15015380.279155202</v>
      </c>
      <c r="AL369" s="164">
        <f t="shared" si="307"/>
        <v>12012304.223324165</v>
      </c>
      <c r="AM369" s="164">
        <f t="shared" si="307"/>
        <v>9009228.1674931198</v>
      </c>
    </row>
    <row r="370" spans="1:39" outlineLevel="1">
      <c r="A370" s="100"/>
      <c r="B370" s="100"/>
      <c r="C370" s="100"/>
      <c r="D370" s="179" t="str">
        <f t="shared" si="305"/>
        <v>Terminal facilities</v>
      </c>
      <c r="E370" s="165" t="str">
        <f>H686</f>
        <v>Terminal Domestic - Jet</v>
      </c>
      <c r="F370" s="165"/>
      <c r="G370" s="165" t="s">
        <v>60</v>
      </c>
      <c r="H370" s="121"/>
      <c r="I370" s="165"/>
      <c r="J370" s="165"/>
      <c r="K370" s="303"/>
      <c r="L370" s="303"/>
      <c r="M370" s="304"/>
      <c r="N370" s="376"/>
      <c r="O370" s="197">
        <f>N374</f>
        <v>81083053.507438153</v>
      </c>
      <c r="P370" s="164">
        <f t="shared" ref="P370:X370" si="308">O370</f>
        <v>81083053.507438153</v>
      </c>
      <c r="Q370" s="164">
        <f t="shared" si="308"/>
        <v>81083053.507438153</v>
      </c>
      <c r="R370" s="164">
        <f t="shared" si="308"/>
        <v>81083053.507438153</v>
      </c>
      <c r="S370" s="164">
        <f t="shared" si="308"/>
        <v>81083053.507438153</v>
      </c>
      <c r="T370" s="164">
        <f t="shared" si="308"/>
        <v>81083053.507438153</v>
      </c>
      <c r="U370" s="164">
        <f t="shared" si="308"/>
        <v>81083053.507438153</v>
      </c>
      <c r="V370" s="164">
        <f t="shared" si="308"/>
        <v>81083053.507438153</v>
      </c>
      <c r="W370" s="164">
        <f t="shared" si="308"/>
        <v>81083053.507438153</v>
      </c>
      <c r="X370" s="164">
        <f t="shared" si="308"/>
        <v>81083053.507438153</v>
      </c>
      <c r="Y370" s="164">
        <f t="shared" ref="Y370:AM370" si="309">X370</f>
        <v>81083053.507438153</v>
      </c>
      <c r="Z370" s="164">
        <f t="shared" si="309"/>
        <v>81083053.507438153</v>
      </c>
      <c r="AA370" s="164">
        <f t="shared" si="309"/>
        <v>81083053.507438153</v>
      </c>
      <c r="AB370" s="164">
        <f t="shared" si="309"/>
        <v>81083053.507438153</v>
      </c>
      <c r="AC370" s="164">
        <f t="shared" si="309"/>
        <v>81083053.507438153</v>
      </c>
      <c r="AD370" s="164">
        <f t="shared" si="309"/>
        <v>81083053.507438153</v>
      </c>
      <c r="AE370" s="164">
        <f t="shared" si="309"/>
        <v>81083053.507438153</v>
      </c>
      <c r="AF370" s="164">
        <f t="shared" si="309"/>
        <v>81083053.507438153</v>
      </c>
      <c r="AG370" s="164">
        <f t="shared" si="309"/>
        <v>81083053.507438153</v>
      </c>
      <c r="AH370" s="164">
        <f t="shared" si="309"/>
        <v>81083053.507438153</v>
      </c>
      <c r="AI370" s="164">
        <f t="shared" si="309"/>
        <v>81083053.507438153</v>
      </c>
      <c r="AJ370" s="164">
        <f t="shared" si="309"/>
        <v>81083053.507438153</v>
      </c>
      <c r="AK370" s="164">
        <f t="shared" si="309"/>
        <v>81083053.507438153</v>
      </c>
      <c r="AL370" s="164">
        <f t="shared" si="309"/>
        <v>81083053.507438153</v>
      </c>
      <c r="AM370" s="164">
        <f t="shared" si="309"/>
        <v>81083053.507438153</v>
      </c>
    </row>
    <row r="371" spans="1:39" outlineLevel="1">
      <c r="A371" s="100"/>
      <c r="B371" s="100"/>
      <c r="C371" s="100"/>
      <c r="D371" s="179" t="str">
        <f t="shared" si="305"/>
        <v>Terminal facilities</v>
      </c>
      <c r="E371" s="165" t="str">
        <f>H686</f>
        <v>Terminal Domestic - Jet</v>
      </c>
      <c r="F371" s="165"/>
      <c r="G371" s="165" t="s">
        <v>79</v>
      </c>
      <c r="H371" s="121"/>
      <c r="I371" s="165"/>
      <c r="J371" s="165"/>
      <c r="K371" s="303"/>
      <c r="L371" s="303"/>
      <c r="M371" s="202"/>
      <c r="N371" s="376"/>
      <c r="O371" s="197">
        <f t="shared" ref="O371:X371" si="310">N373</f>
        <v>0</v>
      </c>
      <c r="P371" s="164">
        <f t="shared" si="310"/>
        <v>3003076.0558310426</v>
      </c>
      <c r="Q371" s="164">
        <f t="shared" si="310"/>
        <v>6006152.1116620852</v>
      </c>
      <c r="R371" s="164">
        <f t="shared" si="310"/>
        <v>9009228.1674931273</v>
      </c>
      <c r="S371" s="164">
        <f t="shared" si="310"/>
        <v>12012304.22332417</v>
      </c>
      <c r="T371" s="164">
        <f t="shared" si="310"/>
        <v>15015380.279155213</v>
      </c>
      <c r="U371" s="164">
        <f t="shared" si="310"/>
        <v>18018456.334986255</v>
      </c>
      <c r="V371" s="164">
        <f t="shared" si="310"/>
        <v>21021532.390817296</v>
      </c>
      <c r="W371" s="164">
        <f t="shared" si="310"/>
        <v>24024608.446648337</v>
      </c>
      <c r="X371" s="164">
        <f t="shared" si="310"/>
        <v>27027684.502479378</v>
      </c>
      <c r="Y371" s="164">
        <f t="shared" ref="Y371:AM371" si="311">X373</f>
        <v>30030760.558310419</v>
      </c>
      <c r="Z371" s="164">
        <f t="shared" si="311"/>
        <v>33033836.614141461</v>
      </c>
      <c r="AA371" s="164">
        <f t="shared" si="311"/>
        <v>36036912.669972502</v>
      </c>
      <c r="AB371" s="164">
        <f t="shared" si="311"/>
        <v>39039988.725803547</v>
      </c>
      <c r="AC371" s="164">
        <f t="shared" si="311"/>
        <v>42043064.781634592</v>
      </c>
      <c r="AD371" s="164">
        <f t="shared" si="311"/>
        <v>45046140.837465636</v>
      </c>
      <c r="AE371" s="164">
        <f t="shared" si="311"/>
        <v>48049216.893296681</v>
      </c>
      <c r="AF371" s="164">
        <f t="shared" si="311"/>
        <v>51052292.949127726</v>
      </c>
      <c r="AG371" s="164">
        <f t="shared" si="311"/>
        <v>54055369.004958771</v>
      </c>
      <c r="AH371" s="164">
        <f t="shared" si="311"/>
        <v>57058445.060789816</v>
      </c>
      <c r="AI371" s="164">
        <f t="shared" si="311"/>
        <v>60061521.116620861</v>
      </c>
      <c r="AJ371" s="164">
        <f t="shared" si="311"/>
        <v>63064597.172451906</v>
      </c>
      <c r="AK371" s="164">
        <f t="shared" si="311"/>
        <v>66067673.228282951</v>
      </c>
      <c r="AL371" s="164">
        <f t="shared" si="311"/>
        <v>69070749.284113988</v>
      </c>
      <c r="AM371" s="164">
        <f t="shared" si="311"/>
        <v>72073825.339945033</v>
      </c>
    </row>
    <row r="372" spans="1:39" outlineLevel="1">
      <c r="A372" s="100"/>
      <c r="B372" s="100"/>
      <c r="C372" s="100"/>
      <c r="D372" s="179" t="str">
        <f t="shared" si="305"/>
        <v>Terminal facilities</v>
      </c>
      <c r="E372" s="165" t="str">
        <f>H686</f>
        <v>Terminal Domestic - Jet</v>
      </c>
      <c r="F372" s="165"/>
      <c r="G372" s="165" t="s">
        <v>78</v>
      </c>
      <c r="H372" s="121"/>
      <c r="I372" s="165"/>
      <c r="J372" s="165"/>
      <c r="K372" s="303"/>
      <c r="L372" s="303"/>
      <c r="M372" s="202"/>
      <c r="N372" s="376"/>
      <c r="O372" s="197">
        <f>IFERROR(MIN(O369,O370/'Asset base'!O$104),0)</f>
        <v>3003076.0558310426</v>
      </c>
      <c r="P372" s="197">
        <f>IFERROR(MIN(P369,P370/'Asset base'!P$104),0)</f>
        <v>3003076.0558310426</v>
      </c>
      <c r="Q372" s="197">
        <f>IFERROR(MIN(Q369,Q370/'Asset base'!Q$104),0)</f>
        <v>3003076.0558310426</v>
      </c>
      <c r="R372" s="197">
        <f>IFERROR(MIN(R369,R370/'Asset base'!R$104),0)</f>
        <v>3003076.0558310426</v>
      </c>
      <c r="S372" s="197">
        <f>IFERROR(MIN(S369,S370/'Asset base'!S$104),0)</f>
        <v>3003076.0558310426</v>
      </c>
      <c r="T372" s="197">
        <f>IFERROR(MIN(T369,T370/'Asset base'!T$104),0)</f>
        <v>3003076.0558310426</v>
      </c>
      <c r="U372" s="197">
        <f>IFERROR(MIN(U369,U370/'Asset base'!U$104),0)</f>
        <v>3003076.0558310426</v>
      </c>
      <c r="V372" s="197">
        <f>IFERROR(MIN(V369,V370/'Asset base'!V$104),0)</f>
        <v>3003076.0558310426</v>
      </c>
      <c r="W372" s="197">
        <f>IFERROR(MIN(W369,W370/'Asset base'!W$104),0)</f>
        <v>3003076.0558310426</v>
      </c>
      <c r="X372" s="197">
        <f>IFERROR(MIN(X369,X370/'Asset base'!X$104),0)</f>
        <v>3003076.0558310426</v>
      </c>
      <c r="Y372" s="197">
        <f>IFERROR(MIN(Y369,Y370/'Asset base'!Y$104),0)</f>
        <v>3003076.0558310426</v>
      </c>
      <c r="Z372" s="197">
        <f>IFERROR(MIN(Z369,Z370/'Asset base'!Z$104),0)</f>
        <v>3003076.0558310426</v>
      </c>
      <c r="AA372" s="197">
        <f>IFERROR(MIN(AA369,AA370/'Asset base'!AA$104),0)</f>
        <v>3003076.0558310426</v>
      </c>
      <c r="AB372" s="197">
        <f>IFERROR(MIN(AB369,AB370/'Asset base'!AB$104),0)</f>
        <v>3003076.0558310426</v>
      </c>
      <c r="AC372" s="197">
        <f>IFERROR(MIN(AC369,AC370/'Asset base'!AC$104),0)</f>
        <v>3003076.0558310426</v>
      </c>
      <c r="AD372" s="197">
        <f>IFERROR(MIN(AD369,AD370/'Asset base'!AD$104),0)</f>
        <v>3003076.0558310426</v>
      </c>
      <c r="AE372" s="197">
        <f>IFERROR(MIN(AE369,AE370/'Asset base'!AE$104),0)</f>
        <v>3003076.0558310426</v>
      </c>
      <c r="AF372" s="197">
        <f>IFERROR(MIN(AF369,AF370/'Asset base'!AF$104),0)</f>
        <v>3003076.0558310426</v>
      </c>
      <c r="AG372" s="197">
        <f>IFERROR(MIN(AG369,AG370/'Asset base'!AG$104),0)</f>
        <v>3003076.0558310426</v>
      </c>
      <c r="AH372" s="197">
        <f>IFERROR(MIN(AH369,AH370/'Asset base'!AH$104),0)</f>
        <v>3003076.0558310426</v>
      </c>
      <c r="AI372" s="197">
        <f>IFERROR(MIN(AI369,AI370/'Asset base'!AI$104),0)</f>
        <v>3003076.0558310426</v>
      </c>
      <c r="AJ372" s="197">
        <f>IFERROR(MIN(AJ369,AJ370/'Asset base'!AJ$104),0)</f>
        <v>3003076.0558310426</v>
      </c>
      <c r="AK372" s="197">
        <f>IFERROR(MIN(AK369,AK370/'Asset base'!AK$104),0)</f>
        <v>3003076.0558310426</v>
      </c>
      <c r="AL372" s="197">
        <f>IFERROR(MIN(AL369,AL370/'Asset base'!AL$104),0)</f>
        <v>3003076.0558310426</v>
      </c>
      <c r="AM372" s="197">
        <f>IFERROR(MIN(AM369,AM370/'Asset base'!AM$104),0)</f>
        <v>3003076.0558310426</v>
      </c>
    </row>
    <row r="373" spans="1:39" outlineLevel="1">
      <c r="A373" s="100"/>
      <c r="B373" s="100"/>
      <c r="C373" s="100"/>
      <c r="D373" s="179" t="str">
        <f t="shared" si="305"/>
        <v>Terminal facilities</v>
      </c>
      <c r="E373" s="165" t="str">
        <f>H686</f>
        <v>Terminal Domestic - Jet</v>
      </c>
      <c r="F373" s="165"/>
      <c r="G373" s="165" t="s">
        <v>77</v>
      </c>
      <c r="H373" s="121"/>
      <c r="I373" s="165"/>
      <c r="J373" s="165"/>
      <c r="K373" s="305"/>
      <c r="L373" s="305"/>
      <c r="M373" s="306"/>
      <c r="N373" s="376"/>
      <c r="O373" s="197">
        <f t="shared" ref="O373:X373" si="312">SUM(O371:O372)</f>
        <v>3003076.0558310426</v>
      </c>
      <c r="P373" s="164">
        <f t="shared" si="312"/>
        <v>6006152.1116620852</v>
      </c>
      <c r="Q373" s="164">
        <f t="shared" si="312"/>
        <v>9009228.1674931273</v>
      </c>
      <c r="R373" s="164">
        <f t="shared" si="312"/>
        <v>12012304.22332417</v>
      </c>
      <c r="S373" s="164">
        <f t="shared" si="312"/>
        <v>15015380.279155213</v>
      </c>
      <c r="T373" s="164">
        <f t="shared" si="312"/>
        <v>18018456.334986255</v>
      </c>
      <c r="U373" s="164">
        <f t="shared" si="312"/>
        <v>21021532.390817296</v>
      </c>
      <c r="V373" s="164">
        <f t="shared" si="312"/>
        <v>24024608.446648337</v>
      </c>
      <c r="W373" s="164">
        <f t="shared" si="312"/>
        <v>27027684.502479378</v>
      </c>
      <c r="X373" s="164">
        <f t="shared" si="312"/>
        <v>30030760.558310419</v>
      </c>
      <c r="Y373" s="164">
        <f>SUM(Y371:Y372)</f>
        <v>33033836.614141461</v>
      </c>
      <c r="Z373" s="164">
        <f t="shared" ref="Z373:AM373" si="313">SUM(Z371:Z372)</f>
        <v>36036912.669972502</v>
      </c>
      <c r="AA373" s="164">
        <f t="shared" si="313"/>
        <v>39039988.725803547</v>
      </c>
      <c r="AB373" s="164">
        <f t="shared" si="313"/>
        <v>42043064.781634592</v>
      </c>
      <c r="AC373" s="164">
        <f t="shared" si="313"/>
        <v>45046140.837465636</v>
      </c>
      <c r="AD373" s="164">
        <f t="shared" si="313"/>
        <v>48049216.893296681</v>
      </c>
      <c r="AE373" s="164">
        <f t="shared" si="313"/>
        <v>51052292.949127726</v>
      </c>
      <c r="AF373" s="164">
        <f t="shared" si="313"/>
        <v>54055369.004958771</v>
      </c>
      <c r="AG373" s="164">
        <f t="shared" si="313"/>
        <v>57058445.060789816</v>
      </c>
      <c r="AH373" s="164">
        <f t="shared" si="313"/>
        <v>60061521.116620861</v>
      </c>
      <c r="AI373" s="164">
        <f t="shared" si="313"/>
        <v>63064597.172451906</v>
      </c>
      <c r="AJ373" s="164">
        <f t="shared" si="313"/>
        <v>66067673.228282951</v>
      </c>
      <c r="AK373" s="164">
        <f t="shared" si="313"/>
        <v>69070749.284113988</v>
      </c>
      <c r="AL373" s="164">
        <f t="shared" si="313"/>
        <v>72073825.339945033</v>
      </c>
      <c r="AM373" s="164">
        <f t="shared" si="313"/>
        <v>75076901.395776078</v>
      </c>
    </row>
    <row r="374" spans="1:39" outlineLevel="1">
      <c r="A374" s="100"/>
      <c r="B374" s="100"/>
      <c r="C374" s="100"/>
      <c r="D374" s="179" t="str">
        <f t="shared" si="305"/>
        <v>Terminal facilities</v>
      </c>
      <c r="E374" s="165" t="str">
        <f>H686</f>
        <v>Terminal Domestic - Jet</v>
      </c>
      <c r="F374" s="165"/>
      <c r="G374" s="200" t="s">
        <v>76</v>
      </c>
      <c r="H374" s="201"/>
      <c r="I374" s="200"/>
      <c r="J374" s="200"/>
      <c r="K374" s="198">
        <f t="shared" ref="K374:S374" si="314">K370-K373</f>
        <v>0</v>
      </c>
      <c r="L374" s="198">
        <f t="shared" si="314"/>
        <v>0</v>
      </c>
      <c r="M374" s="227">
        <f>N369</f>
        <v>0</v>
      </c>
      <c r="N374" s="661">
        <f>'[7]2008-2012 Asset Mov''t Revised'!$AA$82-435000</f>
        <v>81083053.507438153</v>
      </c>
      <c r="O374" s="199">
        <f t="shared" si="314"/>
        <v>78079977.451607108</v>
      </c>
      <c r="P374" s="198">
        <f t="shared" si="314"/>
        <v>75076901.395776063</v>
      </c>
      <c r="Q374" s="198">
        <f t="shared" si="314"/>
        <v>72073825.339945018</v>
      </c>
      <c r="R374" s="198">
        <f t="shared" si="314"/>
        <v>69070749.284113988</v>
      </c>
      <c r="S374" s="198">
        <f t="shared" si="314"/>
        <v>66067673.228282943</v>
      </c>
      <c r="T374" s="198">
        <f t="shared" ref="T374:AM374" si="315">T370-T373</f>
        <v>63064597.172451898</v>
      </c>
      <c r="U374" s="198">
        <f t="shared" si="315"/>
        <v>60061521.116620854</v>
      </c>
      <c r="V374" s="198">
        <f t="shared" si="315"/>
        <v>57058445.060789816</v>
      </c>
      <c r="W374" s="198">
        <f t="shared" si="315"/>
        <v>54055369.004958779</v>
      </c>
      <c r="X374" s="198">
        <f t="shared" si="315"/>
        <v>51052292.949127734</v>
      </c>
      <c r="Y374" s="198">
        <f t="shared" si="315"/>
        <v>48049216.893296689</v>
      </c>
      <c r="Z374" s="198">
        <f t="shared" si="315"/>
        <v>45046140.837465651</v>
      </c>
      <c r="AA374" s="198">
        <f t="shared" si="315"/>
        <v>42043064.781634606</v>
      </c>
      <c r="AB374" s="198">
        <f t="shared" si="315"/>
        <v>39039988.725803562</v>
      </c>
      <c r="AC374" s="198">
        <f t="shared" si="315"/>
        <v>36036912.669972517</v>
      </c>
      <c r="AD374" s="198">
        <f t="shared" si="315"/>
        <v>33033836.614141472</v>
      </c>
      <c r="AE374" s="198">
        <f t="shared" si="315"/>
        <v>30030760.558310427</v>
      </c>
      <c r="AF374" s="198">
        <f t="shared" si="315"/>
        <v>27027684.502479382</v>
      </c>
      <c r="AG374" s="198">
        <f t="shared" si="315"/>
        <v>24024608.446648337</v>
      </c>
      <c r="AH374" s="198">
        <f t="shared" si="315"/>
        <v>21021532.390817292</v>
      </c>
      <c r="AI374" s="198">
        <f t="shared" si="315"/>
        <v>18018456.334986247</v>
      </c>
      <c r="AJ374" s="198">
        <f t="shared" si="315"/>
        <v>15015380.279155202</v>
      </c>
      <c r="AK374" s="198">
        <f t="shared" si="315"/>
        <v>12012304.223324165</v>
      </c>
      <c r="AL374" s="198">
        <f t="shared" si="315"/>
        <v>9009228.1674931198</v>
      </c>
      <c r="AM374" s="198">
        <f t="shared" si="315"/>
        <v>6006152.1116620749</v>
      </c>
    </row>
    <row r="375" spans="1:39" outlineLevel="1">
      <c r="A375" s="100"/>
      <c r="B375" s="100"/>
      <c r="C375" s="100"/>
      <c r="D375" s="179"/>
      <c r="E375" s="165"/>
      <c r="F375" s="165"/>
      <c r="G375" s="165"/>
      <c r="H375" s="121"/>
      <c r="I375" s="165"/>
      <c r="J375" s="165"/>
      <c r="K375" s="164"/>
      <c r="L375" s="164"/>
      <c r="M375" s="227"/>
      <c r="N375" s="203"/>
      <c r="O375" s="197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4"/>
      <c r="AG375" s="164"/>
      <c r="AH375" s="164"/>
      <c r="AI375" s="164"/>
      <c r="AJ375" s="164"/>
      <c r="AK375" s="164"/>
      <c r="AL375" s="164"/>
      <c r="AM375" s="164"/>
    </row>
    <row r="376" spans="1:39" outlineLevel="1">
      <c r="A376" s="100"/>
      <c r="B376" s="100"/>
      <c r="C376" s="100"/>
      <c r="D376" s="179"/>
      <c r="E376" s="165"/>
      <c r="F376" s="165"/>
      <c r="G376" s="206" t="str">
        <f>G760</f>
        <v>Car parking</v>
      </c>
      <c r="H376" s="121"/>
      <c r="I376" s="165"/>
      <c r="J376" s="165"/>
      <c r="K376" s="207"/>
      <c r="L376" s="164"/>
      <c r="M376" s="227"/>
      <c r="N376" s="203"/>
      <c r="O376" s="197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  <c r="AF376" s="165"/>
      <c r="AG376" s="165"/>
      <c r="AH376" s="165"/>
      <c r="AI376" s="165"/>
      <c r="AJ376" s="165"/>
      <c r="AK376" s="165"/>
      <c r="AL376" s="165"/>
      <c r="AM376" s="165"/>
    </row>
    <row r="377" spans="1:39" outlineLevel="1">
      <c r="A377" s="100"/>
      <c r="B377" s="100"/>
      <c r="C377" s="100"/>
      <c r="D377" s="179"/>
      <c r="E377" s="165"/>
      <c r="F377" s="165"/>
      <c r="G377" s="205"/>
      <c r="H377" s="121"/>
      <c r="I377" s="165"/>
      <c r="J377" s="165"/>
      <c r="K377" s="207"/>
      <c r="L377" s="164"/>
      <c r="M377" s="227"/>
      <c r="N377" s="203"/>
      <c r="O377" s="197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  <c r="AA377" s="165"/>
      <c r="AB377" s="165"/>
      <c r="AC377" s="165"/>
      <c r="AD377" s="165"/>
      <c r="AE377" s="165"/>
      <c r="AF377" s="165"/>
      <c r="AG377" s="165"/>
      <c r="AH377" s="165"/>
      <c r="AI377" s="165"/>
      <c r="AJ377" s="165"/>
      <c r="AK377" s="165"/>
      <c r="AL377" s="165"/>
      <c r="AM377" s="165"/>
    </row>
    <row r="378" spans="1:39" outlineLevel="1">
      <c r="A378" s="100"/>
      <c r="B378" s="100"/>
      <c r="C378" s="100"/>
      <c r="D378" s="179" t="str">
        <f t="shared" ref="D378:D383" si="316">$G$572</f>
        <v>Car parking</v>
      </c>
      <c r="E378" s="165" t="str">
        <f>H686</f>
        <v>Terminal Domestic - Jet</v>
      </c>
      <c r="F378" s="165"/>
      <c r="G378" s="165" t="s">
        <v>80</v>
      </c>
      <c r="H378" s="121"/>
      <c r="I378" s="165"/>
      <c r="J378" s="165"/>
      <c r="K378" s="164"/>
      <c r="L378" s="164"/>
      <c r="M378" s="227"/>
      <c r="N378" s="376">
        <f>[2]OUTPUT!N716</f>
        <v>0</v>
      </c>
      <c r="O378" s="197">
        <f t="shared" ref="O378:X378" si="317">N383</f>
        <v>0</v>
      </c>
      <c r="P378" s="164">
        <f t="shared" si="317"/>
        <v>0</v>
      </c>
      <c r="Q378" s="164">
        <f t="shared" si="317"/>
        <v>0</v>
      </c>
      <c r="R378" s="164">
        <f t="shared" si="317"/>
        <v>0</v>
      </c>
      <c r="S378" s="164">
        <f t="shared" si="317"/>
        <v>0</v>
      </c>
      <c r="T378" s="164">
        <f t="shared" si="317"/>
        <v>0</v>
      </c>
      <c r="U378" s="164">
        <f t="shared" si="317"/>
        <v>0</v>
      </c>
      <c r="V378" s="164">
        <f t="shared" si="317"/>
        <v>0</v>
      </c>
      <c r="W378" s="164">
        <f t="shared" si="317"/>
        <v>0</v>
      </c>
      <c r="X378" s="164">
        <f t="shared" si="317"/>
        <v>0</v>
      </c>
      <c r="Y378" s="164">
        <f t="shared" ref="Y378:AM378" si="318">X383</f>
        <v>0</v>
      </c>
      <c r="Z378" s="164">
        <f t="shared" si="318"/>
        <v>0</v>
      </c>
      <c r="AA378" s="164">
        <f t="shared" si="318"/>
        <v>0</v>
      </c>
      <c r="AB378" s="164">
        <f t="shared" si="318"/>
        <v>0</v>
      </c>
      <c r="AC378" s="164">
        <f t="shared" si="318"/>
        <v>0</v>
      </c>
      <c r="AD378" s="164">
        <f t="shared" si="318"/>
        <v>0</v>
      </c>
      <c r="AE378" s="164">
        <f t="shared" si="318"/>
        <v>0</v>
      </c>
      <c r="AF378" s="164">
        <f t="shared" si="318"/>
        <v>0</v>
      </c>
      <c r="AG378" s="164">
        <f t="shared" si="318"/>
        <v>0</v>
      </c>
      <c r="AH378" s="164">
        <f t="shared" si="318"/>
        <v>0</v>
      </c>
      <c r="AI378" s="164">
        <f t="shared" si="318"/>
        <v>0</v>
      </c>
      <c r="AJ378" s="164">
        <f t="shared" si="318"/>
        <v>0</v>
      </c>
      <c r="AK378" s="164">
        <f t="shared" si="318"/>
        <v>0</v>
      </c>
      <c r="AL378" s="164">
        <f t="shared" si="318"/>
        <v>0</v>
      </c>
      <c r="AM378" s="164">
        <f t="shared" si="318"/>
        <v>0</v>
      </c>
    </row>
    <row r="379" spans="1:39" outlineLevel="1">
      <c r="A379" s="100"/>
      <c r="B379" s="100"/>
      <c r="C379" s="100"/>
      <c r="D379" s="179" t="str">
        <f t="shared" si="316"/>
        <v>Car parking</v>
      </c>
      <c r="E379" s="165" t="str">
        <f>H686</f>
        <v>Terminal Domestic - Jet</v>
      </c>
      <c r="F379" s="165"/>
      <c r="G379" s="165" t="s">
        <v>60</v>
      </c>
      <c r="H379" s="121"/>
      <c r="I379" s="165"/>
      <c r="J379" s="165"/>
      <c r="K379" s="303"/>
      <c r="L379" s="303"/>
      <c r="M379" s="304"/>
      <c r="N379" s="376">
        <f>[2]OUTPUT!N717</f>
        <v>0</v>
      </c>
      <c r="O379" s="197">
        <f t="shared" ref="O379:X379" si="319">N379</f>
        <v>0</v>
      </c>
      <c r="P379" s="164">
        <f t="shared" si="319"/>
        <v>0</v>
      </c>
      <c r="Q379" s="164">
        <f t="shared" si="319"/>
        <v>0</v>
      </c>
      <c r="R379" s="164">
        <f t="shared" si="319"/>
        <v>0</v>
      </c>
      <c r="S379" s="164">
        <f t="shared" si="319"/>
        <v>0</v>
      </c>
      <c r="T379" s="164">
        <f t="shared" si="319"/>
        <v>0</v>
      </c>
      <c r="U379" s="164">
        <f t="shared" si="319"/>
        <v>0</v>
      </c>
      <c r="V379" s="164">
        <f t="shared" si="319"/>
        <v>0</v>
      </c>
      <c r="W379" s="164">
        <f t="shared" si="319"/>
        <v>0</v>
      </c>
      <c r="X379" s="164">
        <f t="shared" si="319"/>
        <v>0</v>
      </c>
      <c r="Y379" s="164">
        <f t="shared" ref="Y379:AM379" si="320">X379</f>
        <v>0</v>
      </c>
      <c r="Z379" s="164">
        <f t="shared" si="320"/>
        <v>0</v>
      </c>
      <c r="AA379" s="164">
        <f t="shared" si="320"/>
        <v>0</v>
      </c>
      <c r="AB379" s="164">
        <f t="shared" si="320"/>
        <v>0</v>
      </c>
      <c r="AC379" s="164">
        <f t="shared" si="320"/>
        <v>0</v>
      </c>
      <c r="AD379" s="164">
        <f t="shared" si="320"/>
        <v>0</v>
      </c>
      <c r="AE379" s="164">
        <f t="shared" si="320"/>
        <v>0</v>
      </c>
      <c r="AF379" s="164">
        <f t="shared" si="320"/>
        <v>0</v>
      </c>
      <c r="AG379" s="164">
        <f t="shared" si="320"/>
        <v>0</v>
      </c>
      <c r="AH379" s="164">
        <f t="shared" si="320"/>
        <v>0</v>
      </c>
      <c r="AI379" s="164">
        <f t="shared" si="320"/>
        <v>0</v>
      </c>
      <c r="AJ379" s="164">
        <f t="shared" si="320"/>
        <v>0</v>
      </c>
      <c r="AK379" s="164">
        <f t="shared" si="320"/>
        <v>0</v>
      </c>
      <c r="AL379" s="164">
        <f t="shared" si="320"/>
        <v>0</v>
      </c>
      <c r="AM379" s="164">
        <f t="shared" si="320"/>
        <v>0</v>
      </c>
    </row>
    <row r="380" spans="1:39" outlineLevel="1">
      <c r="A380" s="100"/>
      <c r="B380" s="100"/>
      <c r="C380" s="100"/>
      <c r="D380" s="179" t="str">
        <f t="shared" si="316"/>
        <v>Car parking</v>
      </c>
      <c r="E380" s="165" t="str">
        <f>H686</f>
        <v>Terminal Domestic - Jet</v>
      </c>
      <c r="F380" s="165"/>
      <c r="G380" s="165" t="s">
        <v>79</v>
      </c>
      <c r="H380" s="121"/>
      <c r="I380" s="165"/>
      <c r="J380" s="165"/>
      <c r="K380" s="303"/>
      <c r="L380" s="303"/>
      <c r="M380" s="202"/>
      <c r="N380" s="376">
        <f>[2]OUTPUT!N718</f>
        <v>0</v>
      </c>
      <c r="O380" s="197">
        <f t="shared" ref="O380:X380" si="321">N382</f>
        <v>0</v>
      </c>
      <c r="P380" s="164">
        <f t="shared" si="321"/>
        <v>0</v>
      </c>
      <c r="Q380" s="164">
        <f t="shared" si="321"/>
        <v>0</v>
      </c>
      <c r="R380" s="164">
        <f t="shared" si="321"/>
        <v>0</v>
      </c>
      <c r="S380" s="164">
        <f t="shared" si="321"/>
        <v>0</v>
      </c>
      <c r="T380" s="164">
        <f t="shared" si="321"/>
        <v>0</v>
      </c>
      <c r="U380" s="164">
        <f t="shared" si="321"/>
        <v>0</v>
      </c>
      <c r="V380" s="164">
        <f t="shared" si="321"/>
        <v>0</v>
      </c>
      <c r="W380" s="164">
        <f t="shared" si="321"/>
        <v>0</v>
      </c>
      <c r="X380" s="164">
        <f t="shared" si="321"/>
        <v>0</v>
      </c>
      <c r="Y380" s="164">
        <f t="shared" ref="Y380:AM380" si="322">X382</f>
        <v>0</v>
      </c>
      <c r="Z380" s="164">
        <f t="shared" si="322"/>
        <v>0</v>
      </c>
      <c r="AA380" s="164">
        <f t="shared" si="322"/>
        <v>0</v>
      </c>
      <c r="AB380" s="164">
        <f t="shared" si="322"/>
        <v>0</v>
      </c>
      <c r="AC380" s="164">
        <f t="shared" si="322"/>
        <v>0</v>
      </c>
      <c r="AD380" s="164">
        <f t="shared" si="322"/>
        <v>0</v>
      </c>
      <c r="AE380" s="164">
        <f t="shared" si="322"/>
        <v>0</v>
      </c>
      <c r="AF380" s="164">
        <f t="shared" si="322"/>
        <v>0</v>
      </c>
      <c r="AG380" s="164">
        <f t="shared" si="322"/>
        <v>0</v>
      </c>
      <c r="AH380" s="164">
        <f t="shared" si="322"/>
        <v>0</v>
      </c>
      <c r="AI380" s="164">
        <f t="shared" si="322"/>
        <v>0</v>
      </c>
      <c r="AJ380" s="164">
        <f t="shared" si="322"/>
        <v>0</v>
      </c>
      <c r="AK380" s="164">
        <f t="shared" si="322"/>
        <v>0</v>
      </c>
      <c r="AL380" s="164">
        <f t="shared" si="322"/>
        <v>0</v>
      </c>
      <c r="AM380" s="164">
        <f t="shared" si="322"/>
        <v>0</v>
      </c>
    </row>
    <row r="381" spans="1:39" outlineLevel="1">
      <c r="A381" s="100"/>
      <c r="B381" s="100"/>
      <c r="C381" s="100"/>
      <c r="D381" s="179" t="str">
        <f t="shared" si="316"/>
        <v>Car parking</v>
      </c>
      <c r="E381" s="165" t="str">
        <f>H686</f>
        <v>Terminal Domestic - Jet</v>
      </c>
      <c r="F381" s="165"/>
      <c r="G381" s="165" t="s">
        <v>78</v>
      </c>
      <c r="H381" s="121"/>
      <c r="I381" s="165"/>
      <c r="J381" s="165"/>
      <c r="K381" s="303"/>
      <c r="L381" s="303"/>
      <c r="M381" s="202"/>
      <c r="N381" s="376">
        <f>[2]OUTPUT!N719</f>
        <v>0</v>
      </c>
      <c r="O381" s="197">
        <f>IFERROR(MIN(O378,O379/'Asset base'!O$105),0)</f>
        <v>0</v>
      </c>
      <c r="P381" s="164">
        <f>IFERROR(MIN(P378,P379/'Asset base'!P$105),0)</f>
        <v>0</v>
      </c>
      <c r="Q381" s="164">
        <f>IFERROR(MIN(Q378,Q379/'Asset base'!Q$105),0)</f>
        <v>0</v>
      </c>
      <c r="R381" s="164">
        <f>IFERROR(MIN(R378,R379/'Asset base'!R$105),0)</f>
        <v>0</v>
      </c>
      <c r="S381" s="164">
        <f>IFERROR(MIN(S378,S379/'Asset base'!S$105),0)</f>
        <v>0</v>
      </c>
      <c r="T381" s="164">
        <f>IFERROR(MIN(T378,T379/'Asset base'!T$105),0)</f>
        <v>0</v>
      </c>
      <c r="U381" s="164">
        <f>IFERROR(MIN(U378,U379/'Asset base'!U$105),0)</f>
        <v>0</v>
      </c>
      <c r="V381" s="164">
        <f>IFERROR(MIN(V378,V379/'Asset base'!V$105),0)</f>
        <v>0</v>
      </c>
      <c r="W381" s="164">
        <f>IFERROR(MIN(W378,W379/'Asset base'!W$105),0)</f>
        <v>0</v>
      </c>
      <c r="X381" s="164">
        <f>IFERROR(MIN(X378,X379/'Asset base'!X$105),0)</f>
        <v>0</v>
      </c>
      <c r="Y381" s="164">
        <f>IFERROR(MIN(Y378,Y379/'Asset base'!Y$105),0)</f>
        <v>0</v>
      </c>
      <c r="Z381" s="164">
        <f>IFERROR(MIN(Z378,Z379/'Asset base'!Z$105),0)</f>
        <v>0</v>
      </c>
      <c r="AA381" s="164">
        <f>IFERROR(MIN(AA378,AA379/'Asset base'!AA$105),0)</f>
        <v>0</v>
      </c>
      <c r="AB381" s="164">
        <f>IFERROR(MIN(AB378,AB379/'Asset base'!AB$105),0)</f>
        <v>0</v>
      </c>
      <c r="AC381" s="164">
        <f>IFERROR(MIN(AC378,AC379/'Asset base'!AC$105),0)</f>
        <v>0</v>
      </c>
      <c r="AD381" s="164">
        <f>IFERROR(MIN(AD378,AD379/'Asset base'!AD$105),0)</f>
        <v>0</v>
      </c>
      <c r="AE381" s="164">
        <f>IFERROR(MIN(AE378,AE379/'Asset base'!AE$105),0)</f>
        <v>0</v>
      </c>
      <c r="AF381" s="164">
        <f>IFERROR(MIN(AF378,AF379/'Asset base'!AF$105),0)</f>
        <v>0</v>
      </c>
      <c r="AG381" s="164">
        <f>IFERROR(MIN(AG378,AG379/'Asset base'!AG$105),0)</f>
        <v>0</v>
      </c>
      <c r="AH381" s="164">
        <f>IFERROR(MIN(AH378,AH379/'Asset base'!AH$105),0)</f>
        <v>0</v>
      </c>
      <c r="AI381" s="164">
        <f>IFERROR(MIN(AI378,AI379/'Asset base'!AI$105),0)</f>
        <v>0</v>
      </c>
      <c r="AJ381" s="164">
        <f>IFERROR(MIN(AJ378,AJ379/'Asset base'!AJ$105),0)</f>
        <v>0</v>
      </c>
      <c r="AK381" s="164">
        <f>IFERROR(MIN(AK378,AK379/'Asset base'!AK$105),0)</f>
        <v>0</v>
      </c>
      <c r="AL381" s="164">
        <f>IFERROR(MIN(AL378,AL379/'Asset base'!AL$105),0)</f>
        <v>0</v>
      </c>
      <c r="AM381" s="164">
        <f>IFERROR(MIN(AM378,AM379/'Asset base'!AM$105),0)</f>
        <v>0</v>
      </c>
    </row>
    <row r="382" spans="1:39" outlineLevel="1">
      <c r="A382" s="100"/>
      <c r="B382" s="100"/>
      <c r="C382" s="100"/>
      <c r="D382" s="179" t="str">
        <f t="shared" si="316"/>
        <v>Car parking</v>
      </c>
      <c r="E382" s="165" t="str">
        <f>H686</f>
        <v>Terminal Domestic - Jet</v>
      </c>
      <c r="F382" s="165"/>
      <c r="G382" s="165" t="s">
        <v>77</v>
      </c>
      <c r="H382" s="121"/>
      <c r="I382" s="165"/>
      <c r="J382" s="165"/>
      <c r="K382" s="305"/>
      <c r="L382" s="305"/>
      <c r="M382" s="306"/>
      <c r="N382" s="376">
        <f>[2]OUTPUT!N720</f>
        <v>0</v>
      </c>
      <c r="O382" s="197">
        <f t="shared" ref="O382:X382" si="323">SUM(O380:O381)</f>
        <v>0</v>
      </c>
      <c r="P382" s="164">
        <f t="shared" si="323"/>
        <v>0</v>
      </c>
      <c r="Q382" s="164">
        <f t="shared" si="323"/>
        <v>0</v>
      </c>
      <c r="R382" s="164">
        <f t="shared" si="323"/>
        <v>0</v>
      </c>
      <c r="S382" s="164">
        <f t="shared" si="323"/>
        <v>0</v>
      </c>
      <c r="T382" s="164">
        <f t="shared" si="323"/>
        <v>0</v>
      </c>
      <c r="U382" s="164">
        <f t="shared" si="323"/>
        <v>0</v>
      </c>
      <c r="V382" s="164">
        <f t="shared" si="323"/>
        <v>0</v>
      </c>
      <c r="W382" s="164">
        <f t="shared" si="323"/>
        <v>0</v>
      </c>
      <c r="X382" s="164">
        <f t="shared" si="323"/>
        <v>0</v>
      </c>
      <c r="Y382" s="164">
        <f>SUM(Y380:Y381)</f>
        <v>0</v>
      </c>
      <c r="Z382" s="164">
        <f t="shared" ref="Z382:AM382" si="324">SUM(Z380:Z381)</f>
        <v>0</v>
      </c>
      <c r="AA382" s="164">
        <f t="shared" si="324"/>
        <v>0</v>
      </c>
      <c r="AB382" s="164">
        <f t="shared" si="324"/>
        <v>0</v>
      </c>
      <c r="AC382" s="164">
        <f t="shared" si="324"/>
        <v>0</v>
      </c>
      <c r="AD382" s="164">
        <f t="shared" si="324"/>
        <v>0</v>
      </c>
      <c r="AE382" s="164">
        <f t="shared" si="324"/>
        <v>0</v>
      </c>
      <c r="AF382" s="164">
        <f t="shared" si="324"/>
        <v>0</v>
      </c>
      <c r="AG382" s="164">
        <f t="shared" si="324"/>
        <v>0</v>
      </c>
      <c r="AH382" s="164">
        <f t="shared" si="324"/>
        <v>0</v>
      </c>
      <c r="AI382" s="164">
        <f t="shared" si="324"/>
        <v>0</v>
      </c>
      <c r="AJ382" s="164">
        <f t="shared" si="324"/>
        <v>0</v>
      </c>
      <c r="AK382" s="164">
        <f t="shared" si="324"/>
        <v>0</v>
      </c>
      <c r="AL382" s="164">
        <f t="shared" si="324"/>
        <v>0</v>
      </c>
      <c r="AM382" s="164">
        <f t="shared" si="324"/>
        <v>0</v>
      </c>
    </row>
    <row r="383" spans="1:39" outlineLevel="1">
      <c r="A383" s="100"/>
      <c r="B383" s="100"/>
      <c r="C383" s="100"/>
      <c r="D383" s="179" t="str">
        <f t="shared" si="316"/>
        <v>Car parking</v>
      </c>
      <c r="E383" s="165" t="str">
        <f>H686</f>
        <v>Terminal Domestic - Jet</v>
      </c>
      <c r="F383" s="165"/>
      <c r="G383" s="200" t="s">
        <v>76</v>
      </c>
      <c r="H383" s="201"/>
      <c r="I383" s="200"/>
      <c r="J383" s="200"/>
      <c r="K383" s="198">
        <f t="shared" ref="K383:S383" si="325">K379-K382</f>
        <v>0</v>
      </c>
      <c r="L383" s="198">
        <f t="shared" si="325"/>
        <v>0</v>
      </c>
      <c r="M383" s="227">
        <f>N378</f>
        <v>0</v>
      </c>
      <c r="N383" s="541">
        <f t="shared" si="325"/>
        <v>0</v>
      </c>
      <c r="O383" s="199">
        <f t="shared" si="325"/>
        <v>0</v>
      </c>
      <c r="P383" s="198">
        <f t="shared" si="325"/>
        <v>0</v>
      </c>
      <c r="Q383" s="198">
        <f t="shared" si="325"/>
        <v>0</v>
      </c>
      <c r="R383" s="198">
        <f t="shared" si="325"/>
        <v>0</v>
      </c>
      <c r="S383" s="198">
        <f t="shared" si="325"/>
        <v>0</v>
      </c>
      <c r="T383" s="198">
        <f t="shared" ref="T383:AM383" si="326">T379-T382</f>
        <v>0</v>
      </c>
      <c r="U383" s="198">
        <f t="shared" si="326"/>
        <v>0</v>
      </c>
      <c r="V383" s="198">
        <f t="shared" si="326"/>
        <v>0</v>
      </c>
      <c r="W383" s="198">
        <f t="shared" si="326"/>
        <v>0</v>
      </c>
      <c r="X383" s="198">
        <f t="shared" si="326"/>
        <v>0</v>
      </c>
      <c r="Y383" s="198">
        <f t="shared" si="326"/>
        <v>0</v>
      </c>
      <c r="Z383" s="198">
        <f t="shared" si="326"/>
        <v>0</v>
      </c>
      <c r="AA383" s="198">
        <f t="shared" si="326"/>
        <v>0</v>
      </c>
      <c r="AB383" s="198">
        <f t="shared" si="326"/>
        <v>0</v>
      </c>
      <c r="AC383" s="198">
        <f t="shared" si="326"/>
        <v>0</v>
      </c>
      <c r="AD383" s="198">
        <f t="shared" si="326"/>
        <v>0</v>
      </c>
      <c r="AE383" s="198">
        <f t="shared" si="326"/>
        <v>0</v>
      </c>
      <c r="AF383" s="198">
        <f t="shared" si="326"/>
        <v>0</v>
      </c>
      <c r="AG383" s="198">
        <f t="shared" si="326"/>
        <v>0</v>
      </c>
      <c r="AH383" s="198">
        <f t="shared" si="326"/>
        <v>0</v>
      </c>
      <c r="AI383" s="198">
        <f t="shared" si="326"/>
        <v>0</v>
      </c>
      <c r="AJ383" s="198">
        <f t="shared" si="326"/>
        <v>0</v>
      </c>
      <c r="AK383" s="198">
        <f t="shared" si="326"/>
        <v>0</v>
      </c>
      <c r="AL383" s="198">
        <f t="shared" si="326"/>
        <v>0</v>
      </c>
      <c r="AM383" s="198">
        <f t="shared" si="326"/>
        <v>0</v>
      </c>
    </row>
    <row r="384" spans="1:39" outlineLevel="1">
      <c r="A384" s="100"/>
      <c r="B384" s="100"/>
      <c r="C384" s="100"/>
      <c r="D384" s="179"/>
      <c r="E384" s="165"/>
      <c r="F384" s="165"/>
      <c r="G384" s="165"/>
      <c r="H384" s="121"/>
      <c r="I384" s="165"/>
      <c r="J384" s="165"/>
      <c r="K384" s="164"/>
      <c r="L384" s="164"/>
      <c r="M384" s="227"/>
      <c r="N384" s="203"/>
      <c r="O384" s="197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</row>
    <row r="385" spans="1:39" outlineLevel="1">
      <c r="A385" s="100"/>
      <c r="B385" s="100"/>
      <c r="C385" s="100"/>
      <c r="D385" s="179"/>
      <c r="E385" s="165"/>
      <c r="F385" s="165"/>
      <c r="G385" s="206" t="str">
        <f>G769</f>
        <v>Software</v>
      </c>
      <c r="H385" s="121"/>
      <c r="I385" s="165"/>
      <c r="J385" s="165"/>
      <c r="K385" s="207"/>
      <c r="L385" s="164"/>
      <c r="M385" s="227"/>
      <c r="N385" s="203"/>
      <c r="O385" s="197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</row>
    <row r="386" spans="1:39" outlineLevel="1">
      <c r="A386" s="100"/>
      <c r="B386" s="100"/>
      <c r="C386" s="100"/>
      <c r="D386" s="179"/>
      <c r="E386" s="165"/>
      <c r="F386" s="165"/>
      <c r="G386" s="205"/>
      <c r="H386" s="121"/>
      <c r="I386" s="165"/>
      <c r="J386" s="165"/>
      <c r="K386" s="204"/>
      <c r="L386" s="164"/>
      <c r="M386" s="227"/>
      <c r="N386" s="203"/>
      <c r="O386" s="197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</row>
    <row r="387" spans="1:39" outlineLevel="1">
      <c r="A387" s="100"/>
      <c r="B387" s="100"/>
      <c r="C387" s="100"/>
      <c r="D387" s="179" t="str">
        <f t="shared" ref="D387:D392" si="327">$G$581</f>
        <v>Software</v>
      </c>
      <c r="E387" s="165" t="str">
        <f>H686</f>
        <v>Terminal Domestic - Jet</v>
      </c>
      <c r="F387" s="165"/>
      <c r="G387" s="165" t="s">
        <v>80</v>
      </c>
      <c r="H387" s="121"/>
      <c r="I387" s="165"/>
      <c r="J387" s="165"/>
      <c r="K387" s="164"/>
      <c r="L387" s="164"/>
      <c r="M387" s="227"/>
      <c r="N387" s="376"/>
      <c r="O387" s="197">
        <f t="shared" ref="O387:X387" si="328">N392</f>
        <v>2035.9662050619804</v>
      </c>
      <c r="P387" s="164">
        <f t="shared" si="328"/>
        <v>1526.9746537964852</v>
      </c>
      <c r="Q387" s="164">
        <f t="shared" si="328"/>
        <v>1017.9831025309902</v>
      </c>
      <c r="R387" s="164">
        <f t="shared" si="328"/>
        <v>508.99155126549522</v>
      </c>
      <c r="S387" s="164">
        <f t="shared" si="328"/>
        <v>0</v>
      </c>
      <c r="T387" s="164">
        <f t="shared" si="328"/>
        <v>0</v>
      </c>
      <c r="U387" s="164">
        <f t="shared" si="328"/>
        <v>0</v>
      </c>
      <c r="V387" s="164">
        <f t="shared" si="328"/>
        <v>0</v>
      </c>
      <c r="W387" s="164">
        <f t="shared" si="328"/>
        <v>0</v>
      </c>
      <c r="X387" s="164">
        <f t="shared" si="328"/>
        <v>0</v>
      </c>
      <c r="Y387" s="164">
        <f t="shared" ref="Y387:AM387" si="329">X392</f>
        <v>0</v>
      </c>
      <c r="Z387" s="164">
        <f t="shared" si="329"/>
        <v>0</v>
      </c>
      <c r="AA387" s="164">
        <f t="shared" si="329"/>
        <v>0</v>
      </c>
      <c r="AB387" s="164">
        <f t="shared" si="329"/>
        <v>0</v>
      </c>
      <c r="AC387" s="164">
        <f t="shared" si="329"/>
        <v>0</v>
      </c>
      <c r="AD387" s="164">
        <f t="shared" si="329"/>
        <v>0</v>
      </c>
      <c r="AE387" s="164">
        <f t="shared" si="329"/>
        <v>0</v>
      </c>
      <c r="AF387" s="164">
        <f t="shared" si="329"/>
        <v>0</v>
      </c>
      <c r="AG387" s="164">
        <f t="shared" si="329"/>
        <v>0</v>
      </c>
      <c r="AH387" s="164">
        <f t="shared" si="329"/>
        <v>0</v>
      </c>
      <c r="AI387" s="164">
        <f t="shared" si="329"/>
        <v>0</v>
      </c>
      <c r="AJ387" s="164">
        <f t="shared" si="329"/>
        <v>0</v>
      </c>
      <c r="AK387" s="164">
        <f t="shared" si="329"/>
        <v>0</v>
      </c>
      <c r="AL387" s="164">
        <f t="shared" si="329"/>
        <v>0</v>
      </c>
      <c r="AM387" s="164">
        <f t="shared" si="329"/>
        <v>0</v>
      </c>
    </row>
    <row r="388" spans="1:39" outlineLevel="1">
      <c r="A388" s="100"/>
      <c r="B388" s="100"/>
      <c r="C388" s="100"/>
      <c r="D388" s="179" t="str">
        <f t="shared" si="327"/>
        <v>Software</v>
      </c>
      <c r="E388" s="165" t="str">
        <f>H686</f>
        <v>Terminal Domestic - Jet</v>
      </c>
      <c r="F388" s="165"/>
      <c r="G388" s="165" t="s">
        <v>60</v>
      </c>
      <c r="H388" s="121"/>
      <c r="I388" s="165"/>
      <c r="J388" s="165"/>
      <c r="K388" s="303"/>
      <c r="L388" s="303"/>
      <c r="M388" s="304"/>
      <c r="N388" s="376"/>
      <c r="O388" s="197">
        <f>N392</f>
        <v>2035.9662050619804</v>
      </c>
      <c r="P388" s="164">
        <f t="shared" ref="P388:X388" si="330">O388</f>
        <v>2035.9662050619804</v>
      </c>
      <c r="Q388" s="164">
        <f t="shared" si="330"/>
        <v>2035.9662050619804</v>
      </c>
      <c r="R388" s="164">
        <f t="shared" si="330"/>
        <v>2035.9662050619804</v>
      </c>
      <c r="S388" s="164">
        <f t="shared" si="330"/>
        <v>2035.9662050619804</v>
      </c>
      <c r="T388" s="164">
        <f t="shared" si="330"/>
        <v>2035.9662050619804</v>
      </c>
      <c r="U388" s="164">
        <f t="shared" si="330"/>
        <v>2035.9662050619804</v>
      </c>
      <c r="V388" s="164">
        <f t="shared" si="330"/>
        <v>2035.9662050619804</v>
      </c>
      <c r="W388" s="164">
        <f t="shared" si="330"/>
        <v>2035.9662050619804</v>
      </c>
      <c r="X388" s="164">
        <f t="shared" si="330"/>
        <v>2035.9662050619804</v>
      </c>
      <c r="Y388" s="164">
        <f t="shared" ref="Y388:AM388" si="331">X388</f>
        <v>2035.9662050619804</v>
      </c>
      <c r="Z388" s="164">
        <f t="shared" si="331"/>
        <v>2035.9662050619804</v>
      </c>
      <c r="AA388" s="164">
        <f t="shared" si="331"/>
        <v>2035.9662050619804</v>
      </c>
      <c r="AB388" s="164">
        <f t="shared" si="331"/>
        <v>2035.9662050619804</v>
      </c>
      <c r="AC388" s="164">
        <f t="shared" si="331"/>
        <v>2035.9662050619804</v>
      </c>
      <c r="AD388" s="164">
        <f t="shared" si="331"/>
        <v>2035.9662050619804</v>
      </c>
      <c r="AE388" s="164">
        <f t="shared" si="331"/>
        <v>2035.9662050619804</v>
      </c>
      <c r="AF388" s="164">
        <f t="shared" si="331"/>
        <v>2035.9662050619804</v>
      </c>
      <c r="AG388" s="164">
        <f t="shared" si="331"/>
        <v>2035.9662050619804</v>
      </c>
      <c r="AH388" s="164">
        <f t="shared" si="331"/>
        <v>2035.9662050619804</v>
      </c>
      <c r="AI388" s="164">
        <f t="shared" si="331"/>
        <v>2035.9662050619804</v>
      </c>
      <c r="AJ388" s="164">
        <f t="shared" si="331"/>
        <v>2035.9662050619804</v>
      </c>
      <c r="AK388" s="164">
        <f t="shared" si="331"/>
        <v>2035.9662050619804</v>
      </c>
      <c r="AL388" s="164">
        <f t="shared" si="331"/>
        <v>2035.9662050619804</v>
      </c>
      <c r="AM388" s="164">
        <f t="shared" si="331"/>
        <v>2035.9662050619804</v>
      </c>
    </row>
    <row r="389" spans="1:39" outlineLevel="1">
      <c r="A389" s="100"/>
      <c r="B389" s="100"/>
      <c r="C389" s="100"/>
      <c r="D389" s="179" t="str">
        <f t="shared" si="327"/>
        <v>Software</v>
      </c>
      <c r="E389" s="165" t="str">
        <f>H686</f>
        <v>Terminal Domestic - Jet</v>
      </c>
      <c r="F389" s="165"/>
      <c r="G389" s="165" t="s">
        <v>79</v>
      </c>
      <c r="H389" s="121"/>
      <c r="I389" s="165"/>
      <c r="J389" s="165"/>
      <c r="K389" s="303"/>
      <c r="L389" s="303"/>
      <c r="M389" s="202"/>
      <c r="N389" s="376"/>
      <c r="O389" s="197">
        <f t="shared" ref="O389:X389" si="332">N391</f>
        <v>0</v>
      </c>
      <c r="P389" s="164">
        <f t="shared" si="332"/>
        <v>508.9915512654951</v>
      </c>
      <c r="Q389" s="164">
        <f t="shared" si="332"/>
        <v>1017.9831025309902</v>
      </c>
      <c r="R389" s="164">
        <f t="shared" si="332"/>
        <v>1526.9746537964852</v>
      </c>
      <c r="S389" s="164">
        <f t="shared" si="332"/>
        <v>2035.9662050619804</v>
      </c>
      <c r="T389" s="164">
        <f t="shared" si="332"/>
        <v>2035.9662050619804</v>
      </c>
      <c r="U389" s="164">
        <f t="shared" si="332"/>
        <v>2035.9662050619804</v>
      </c>
      <c r="V389" s="164">
        <f t="shared" si="332"/>
        <v>2035.9662050619804</v>
      </c>
      <c r="W389" s="164">
        <f t="shared" si="332"/>
        <v>2035.9662050619804</v>
      </c>
      <c r="X389" s="164">
        <f t="shared" si="332"/>
        <v>2035.9662050619804</v>
      </c>
      <c r="Y389" s="164">
        <f t="shared" ref="Y389:AM389" si="333">X391</f>
        <v>2035.9662050619804</v>
      </c>
      <c r="Z389" s="164">
        <f t="shared" si="333"/>
        <v>2035.9662050619804</v>
      </c>
      <c r="AA389" s="164">
        <f t="shared" si="333"/>
        <v>2035.9662050619804</v>
      </c>
      <c r="AB389" s="164">
        <f t="shared" si="333"/>
        <v>2035.9662050619804</v>
      </c>
      <c r="AC389" s="164">
        <f t="shared" si="333"/>
        <v>2035.9662050619804</v>
      </c>
      <c r="AD389" s="164">
        <f t="shared" si="333"/>
        <v>2035.9662050619804</v>
      </c>
      <c r="AE389" s="164">
        <f t="shared" si="333"/>
        <v>2035.9662050619804</v>
      </c>
      <c r="AF389" s="164">
        <f t="shared" si="333"/>
        <v>2035.9662050619804</v>
      </c>
      <c r="AG389" s="164">
        <f t="shared" si="333"/>
        <v>2035.9662050619804</v>
      </c>
      <c r="AH389" s="164">
        <f t="shared" si="333"/>
        <v>2035.9662050619804</v>
      </c>
      <c r="AI389" s="164">
        <f t="shared" si="333"/>
        <v>2035.9662050619804</v>
      </c>
      <c r="AJ389" s="164">
        <f t="shared" si="333"/>
        <v>2035.9662050619804</v>
      </c>
      <c r="AK389" s="164">
        <f t="shared" si="333"/>
        <v>2035.9662050619804</v>
      </c>
      <c r="AL389" s="164">
        <f t="shared" si="333"/>
        <v>2035.9662050619804</v>
      </c>
      <c r="AM389" s="164">
        <f t="shared" si="333"/>
        <v>2035.9662050619804</v>
      </c>
    </row>
    <row r="390" spans="1:39" outlineLevel="1">
      <c r="A390" s="100"/>
      <c r="B390" s="100"/>
      <c r="C390" s="100"/>
      <c r="D390" s="179" t="str">
        <f t="shared" si="327"/>
        <v>Software</v>
      </c>
      <c r="E390" s="165" t="str">
        <f>H686</f>
        <v>Terminal Domestic - Jet</v>
      </c>
      <c r="F390" s="165"/>
      <c r="G390" s="165" t="s">
        <v>78</v>
      </c>
      <c r="H390" s="121"/>
      <c r="I390" s="165"/>
      <c r="J390" s="165"/>
      <c r="K390" s="303"/>
      <c r="L390" s="303"/>
      <c r="M390" s="202"/>
      <c r="N390" s="376"/>
      <c r="O390" s="197">
        <f>IFERROR(MIN(O387,O388/'Asset base'!O$106),0)</f>
        <v>508.9915512654951</v>
      </c>
      <c r="P390" s="164">
        <f>IFERROR(MIN(P387,P388/'Asset base'!P$106),0)</f>
        <v>508.9915512654951</v>
      </c>
      <c r="Q390" s="164">
        <f>IFERROR(MIN(Q387,Q388/'Asset base'!Q$106),0)</f>
        <v>508.9915512654951</v>
      </c>
      <c r="R390" s="164">
        <f>IFERROR(MIN(R387,R388/'Asset base'!R$106),0)</f>
        <v>508.9915512654951</v>
      </c>
      <c r="S390" s="164">
        <f>IFERROR(MIN(S387,S388/'Asset base'!S$106),0)</f>
        <v>0</v>
      </c>
      <c r="T390" s="164">
        <f>IFERROR(MIN(T387,T388/'Asset base'!T$106),0)</f>
        <v>0</v>
      </c>
      <c r="U390" s="164">
        <f>IFERROR(MIN(U387,U388/'Asset base'!U$106),0)</f>
        <v>0</v>
      </c>
      <c r="V390" s="164">
        <f>IFERROR(MIN(V387,V388/'Asset base'!V$106),0)</f>
        <v>0</v>
      </c>
      <c r="W390" s="164">
        <f>IFERROR(MIN(W387,W388/'Asset base'!W$106),0)</f>
        <v>0</v>
      </c>
      <c r="X390" s="164">
        <f>IFERROR(MIN(X387,X388/'Asset base'!X$106),0)</f>
        <v>0</v>
      </c>
      <c r="Y390" s="164">
        <f>IFERROR(MIN(Y387,Y388/'Asset base'!Y$106),0)</f>
        <v>0</v>
      </c>
      <c r="Z390" s="164">
        <f>IFERROR(MIN(Z387,Z388/'Asset base'!Z$106),0)</f>
        <v>0</v>
      </c>
      <c r="AA390" s="164">
        <f>IFERROR(MIN(AA387,AA388/'Asset base'!AA$106),0)</f>
        <v>0</v>
      </c>
      <c r="AB390" s="164">
        <f>IFERROR(MIN(AB387,AB388/'Asset base'!AB$106),0)</f>
        <v>0</v>
      </c>
      <c r="AC390" s="164">
        <f>IFERROR(MIN(AC387,AC388/'Asset base'!AC$106),0)</f>
        <v>0</v>
      </c>
      <c r="AD390" s="164">
        <f>IFERROR(MIN(AD387,AD388/'Asset base'!AD$106),0)</f>
        <v>0</v>
      </c>
      <c r="AE390" s="164">
        <f>IFERROR(MIN(AE387,AE388/'Asset base'!AE$106),0)</f>
        <v>0</v>
      </c>
      <c r="AF390" s="164">
        <f>IFERROR(MIN(AF387,AF388/'Asset base'!AF$106),0)</f>
        <v>0</v>
      </c>
      <c r="AG390" s="164">
        <f>IFERROR(MIN(AG387,AG388/'Asset base'!AG$106),0)</f>
        <v>0</v>
      </c>
      <c r="AH390" s="164">
        <f>IFERROR(MIN(AH387,AH388/'Asset base'!AH$106),0)</f>
        <v>0</v>
      </c>
      <c r="AI390" s="164">
        <f>IFERROR(MIN(AI387,AI388/'Asset base'!AI$106),0)</f>
        <v>0</v>
      </c>
      <c r="AJ390" s="164">
        <f>IFERROR(MIN(AJ387,AJ388/'Asset base'!AJ$106),0)</f>
        <v>0</v>
      </c>
      <c r="AK390" s="164">
        <f>IFERROR(MIN(AK387,AK388/'Asset base'!AK$106),0)</f>
        <v>0</v>
      </c>
      <c r="AL390" s="164">
        <f>IFERROR(MIN(AL387,AL388/'Asset base'!AL$106),0)</f>
        <v>0</v>
      </c>
      <c r="AM390" s="164">
        <f>IFERROR(MIN(AM387,AM388/'Asset base'!AM$106),0)</f>
        <v>0</v>
      </c>
    </row>
    <row r="391" spans="1:39" outlineLevel="1">
      <c r="A391" s="100"/>
      <c r="B391" s="100"/>
      <c r="C391" s="100"/>
      <c r="D391" s="179" t="str">
        <f t="shared" si="327"/>
        <v>Software</v>
      </c>
      <c r="E391" s="165" t="str">
        <f>H686</f>
        <v>Terminal Domestic - Jet</v>
      </c>
      <c r="F391" s="165"/>
      <c r="G391" s="165" t="s">
        <v>77</v>
      </c>
      <c r="H391" s="121"/>
      <c r="I391" s="165"/>
      <c r="J391" s="165"/>
      <c r="K391" s="305"/>
      <c r="L391" s="305"/>
      <c r="M391" s="306"/>
      <c r="N391" s="376"/>
      <c r="O391" s="197">
        <f t="shared" ref="O391:X391" si="334">SUM(O389:O390)</f>
        <v>508.9915512654951</v>
      </c>
      <c r="P391" s="164">
        <f t="shared" si="334"/>
        <v>1017.9831025309902</v>
      </c>
      <c r="Q391" s="164">
        <f t="shared" si="334"/>
        <v>1526.9746537964852</v>
      </c>
      <c r="R391" s="164">
        <f t="shared" si="334"/>
        <v>2035.9662050619804</v>
      </c>
      <c r="S391" s="164">
        <f t="shared" si="334"/>
        <v>2035.9662050619804</v>
      </c>
      <c r="T391" s="164">
        <f t="shared" si="334"/>
        <v>2035.9662050619804</v>
      </c>
      <c r="U391" s="164">
        <f t="shared" si="334"/>
        <v>2035.9662050619804</v>
      </c>
      <c r="V391" s="164">
        <f t="shared" si="334"/>
        <v>2035.9662050619804</v>
      </c>
      <c r="W391" s="164">
        <f t="shared" si="334"/>
        <v>2035.9662050619804</v>
      </c>
      <c r="X391" s="164">
        <f t="shared" si="334"/>
        <v>2035.9662050619804</v>
      </c>
      <c r="Y391" s="164">
        <f>SUM(Y389:Y390)</f>
        <v>2035.9662050619804</v>
      </c>
      <c r="Z391" s="164">
        <f t="shared" ref="Z391:AM391" si="335">SUM(Z389:Z390)</f>
        <v>2035.9662050619804</v>
      </c>
      <c r="AA391" s="164">
        <f t="shared" si="335"/>
        <v>2035.9662050619804</v>
      </c>
      <c r="AB391" s="164">
        <f t="shared" si="335"/>
        <v>2035.9662050619804</v>
      </c>
      <c r="AC391" s="164">
        <f t="shared" si="335"/>
        <v>2035.9662050619804</v>
      </c>
      <c r="AD391" s="164">
        <f t="shared" si="335"/>
        <v>2035.9662050619804</v>
      </c>
      <c r="AE391" s="164">
        <f t="shared" si="335"/>
        <v>2035.9662050619804</v>
      </c>
      <c r="AF391" s="164">
        <f t="shared" si="335"/>
        <v>2035.9662050619804</v>
      </c>
      <c r="AG391" s="164">
        <f t="shared" si="335"/>
        <v>2035.9662050619804</v>
      </c>
      <c r="AH391" s="164">
        <f t="shared" si="335"/>
        <v>2035.9662050619804</v>
      </c>
      <c r="AI391" s="164">
        <f t="shared" si="335"/>
        <v>2035.9662050619804</v>
      </c>
      <c r="AJ391" s="164">
        <f t="shared" si="335"/>
        <v>2035.9662050619804</v>
      </c>
      <c r="AK391" s="164">
        <f t="shared" si="335"/>
        <v>2035.9662050619804</v>
      </c>
      <c r="AL391" s="164">
        <f t="shared" si="335"/>
        <v>2035.9662050619804</v>
      </c>
      <c r="AM391" s="164">
        <f t="shared" si="335"/>
        <v>2035.9662050619804</v>
      </c>
    </row>
    <row r="392" spans="1:39" outlineLevel="1">
      <c r="A392" s="100"/>
      <c r="B392" s="100"/>
      <c r="C392" s="100"/>
      <c r="D392" s="179" t="str">
        <f t="shared" si="327"/>
        <v>Software</v>
      </c>
      <c r="E392" s="165" t="str">
        <f>H686</f>
        <v>Terminal Domestic - Jet</v>
      </c>
      <c r="F392" s="165"/>
      <c r="G392" s="200" t="s">
        <v>76</v>
      </c>
      <c r="H392" s="201"/>
      <c r="I392" s="200"/>
      <c r="J392" s="200"/>
      <c r="K392" s="199">
        <f t="shared" ref="K392:S392" si="336">K388-K391</f>
        <v>0</v>
      </c>
      <c r="L392" s="198">
        <f t="shared" si="336"/>
        <v>0</v>
      </c>
      <c r="M392" s="227">
        <f>N387</f>
        <v>0</v>
      </c>
      <c r="N392" s="541">
        <f>'[7]2008-2012 Asset Mov''t Revised'!$AA$83</f>
        <v>2035.9662050619804</v>
      </c>
      <c r="O392" s="199">
        <f t="shared" si="336"/>
        <v>1526.9746537964852</v>
      </c>
      <c r="P392" s="198">
        <f t="shared" si="336"/>
        <v>1017.9831025309902</v>
      </c>
      <c r="Q392" s="198">
        <f t="shared" si="336"/>
        <v>508.99155126549522</v>
      </c>
      <c r="R392" s="198">
        <f t="shared" si="336"/>
        <v>0</v>
      </c>
      <c r="S392" s="198">
        <f t="shared" si="336"/>
        <v>0</v>
      </c>
      <c r="T392" s="198">
        <f t="shared" ref="T392:AM392" si="337">T388-T391</f>
        <v>0</v>
      </c>
      <c r="U392" s="198">
        <f t="shared" si="337"/>
        <v>0</v>
      </c>
      <c r="V392" s="198">
        <f t="shared" si="337"/>
        <v>0</v>
      </c>
      <c r="W392" s="198">
        <f t="shared" si="337"/>
        <v>0</v>
      </c>
      <c r="X392" s="198">
        <f t="shared" si="337"/>
        <v>0</v>
      </c>
      <c r="Y392" s="198">
        <f t="shared" si="337"/>
        <v>0</v>
      </c>
      <c r="Z392" s="198">
        <f t="shared" si="337"/>
        <v>0</v>
      </c>
      <c r="AA392" s="198">
        <f t="shared" si="337"/>
        <v>0</v>
      </c>
      <c r="AB392" s="198">
        <f t="shared" si="337"/>
        <v>0</v>
      </c>
      <c r="AC392" s="198">
        <f t="shared" si="337"/>
        <v>0</v>
      </c>
      <c r="AD392" s="198">
        <f t="shared" si="337"/>
        <v>0</v>
      </c>
      <c r="AE392" s="198">
        <f t="shared" si="337"/>
        <v>0</v>
      </c>
      <c r="AF392" s="198">
        <f t="shared" si="337"/>
        <v>0</v>
      </c>
      <c r="AG392" s="198">
        <f t="shared" si="337"/>
        <v>0</v>
      </c>
      <c r="AH392" s="198">
        <f t="shared" si="337"/>
        <v>0</v>
      </c>
      <c r="AI392" s="198">
        <f t="shared" si="337"/>
        <v>0</v>
      </c>
      <c r="AJ392" s="198">
        <f t="shared" si="337"/>
        <v>0</v>
      </c>
      <c r="AK392" s="198">
        <f t="shared" si="337"/>
        <v>0</v>
      </c>
      <c r="AL392" s="198">
        <f t="shared" si="337"/>
        <v>0</v>
      </c>
      <c r="AM392" s="198">
        <f t="shared" si="337"/>
        <v>0</v>
      </c>
    </row>
    <row r="393" spans="1:39" outlineLevel="1">
      <c r="A393" s="100"/>
      <c r="B393" s="100"/>
      <c r="C393" s="100"/>
      <c r="D393" s="179"/>
      <c r="E393" s="165"/>
      <c r="F393" s="165"/>
      <c r="G393" s="165"/>
      <c r="H393" s="121"/>
      <c r="I393" s="165"/>
      <c r="J393" s="165"/>
      <c r="K393" s="197"/>
      <c r="L393" s="164"/>
      <c r="M393" s="227"/>
      <c r="N393" s="203"/>
      <c r="O393" s="197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  <c r="AA393" s="164"/>
      <c r="AB393" s="164"/>
      <c r="AC393" s="164"/>
      <c r="AD393" s="164"/>
      <c r="AE393" s="164"/>
      <c r="AF393" s="164"/>
      <c r="AG393" s="164"/>
      <c r="AH393" s="164"/>
      <c r="AI393" s="164"/>
      <c r="AJ393" s="164"/>
      <c r="AK393" s="164"/>
      <c r="AL393" s="164"/>
      <c r="AM393" s="164"/>
    </row>
    <row r="394" spans="1:39" outlineLevel="1">
      <c r="N394" s="328"/>
    </row>
    <row r="395" spans="1:39" outlineLevel="1">
      <c r="N395" s="328"/>
    </row>
    <row r="396" spans="1:39" outlineLevel="1">
      <c r="A396" s="100"/>
      <c r="B396" s="100"/>
      <c r="C396" s="100"/>
      <c r="D396" s="179"/>
      <c r="E396" s="165"/>
      <c r="F396" s="165"/>
      <c r="G396" s="213"/>
      <c r="H396" s="165"/>
      <c r="I396" s="165"/>
      <c r="J396" s="165"/>
      <c r="K396" s="165"/>
      <c r="L396" s="165"/>
      <c r="M396" s="226"/>
      <c r="N396" s="543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  <c r="AA396" s="165"/>
      <c r="AB396" s="165"/>
      <c r="AC396" s="165"/>
      <c r="AD396" s="165"/>
      <c r="AE396" s="165"/>
      <c r="AF396" s="165"/>
      <c r="AG396" s="165"/>
      <c r="AH396" s="165"/>
      <c r="AI396" s="165"/>
      <c r="AJ396" s="165"/>
      <c r="AK396" s="165"/>
      <c r="AL396" s="165"/>
      <c r="AM396" s="165"/>
    </row>
    <row r="397" spans="1:39" ht="15.75" outlineLevel="1">
      <c r="A397" s="100"/>
      <c r="B397" s="100"/>
      <c r="C397" s="100"/>
      <c r="D397" s="179"/>
      <c r="E397" s="165"/>
      <c r="F397" s="165"/>
      <c r="G397" s="89" t="s">
        <v>81</v>
      </c>
      <c r="H397" s="212" t="str">
        <f>H779</f>
        <v>Terminal Domestic - Turbo Prop</v>
      </c>
      <c r="I397" s="211"/>
      <c r="J397" s="210"/>
      <c r="K397" s="207"/>
      <c r="L397" s="165"/>
      <c r="M397" s="226"/>
      <c r="N397" s="543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  <c r="AA397" s="165"/>
      <c r="AB397" s="165"/>
      <c r="AC397" s="165"/>
      <c r="AD397" s="165"/>
      <c r="AE397" s="165"/>
      <c r="AF397" s="165"/>
      <c r="AG397" s="165"/>
      <c r="AH397" s="165"/>
      <c r="AI397" s="165"/>
      <c r="AJ397" s="165"/>
      <c r="AK397" s="165"/>
      <c r="AL397" s="165"/>
      <c r="AM397" s="165"/>
    </row>
    <row r="398" spans="1:39" outlineLevel="1">
      <c r="A398" s="100"/>
      <c r="B398" s="100"/>
      <c r="C398" s="100"/>
      <c r="D398" s="179"/>
      <c r="E398" s="165"/>
      <c r="F398" s="165"/>
      <c r="G398" s="209"/>
      <c r="H398" s="121"/>
      <c r="I398" s="165"/>
      <c r="J398" s="165"/>
      <c r="K398" s="207"/>
      <c r="L398" s="165"/>
      <c r="M398" s="226"/>
      <c r="N398" s="543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  <c r="AG398" s="165"/>
      <c r="AH398" s="165"/>
      <c r="AI398" s="165"/>
      <c r="AJ398" s="165"/>
      <c r="AK398" s="165"/>
      <c r="AL398" s="165"/>
      <c r="AM398" s="165"/>
    </row>
    <row r="399" spans="1:39" outlineLevel="1">
      <c r="A399" s="100"/>
      <c r="B399" s="100"/>
      <c r="C399" s="100"/>
      <c r="D399" s="179"/>
      <c r="E399" s="165"/>
      <c r="F399" s="165"/>
      <c r="G399" s="206" t="str">
        <f>G781</f>
        <v>Land</v>
      </c>
      <c r="H399" s="121"/>
      <c r="I399" s="165"/>
      <c r="J399" s="165"/>
      <c r="K399" s="207"/>
      <c r="L399" s="165"/>
      <c r="M399" s="226"/>
      <c r="N399" s="544"/>
      <c r="O399" s="48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  <c r="AA399" s="165"/>
      <c r="AB399" s="165"/>
      <c r="AC399" s="165"/>
      <c r="AD399" s="165"/>
      <c r="AE399" s="165"/>
      <c r="AF399" s="165"/>
      <c r="AG399" s="165"/>
      <c r="AH399" s="165"/>
      <c r="AI399" s="165"/>
      <c r="AJ399" s="165"/>
      <c r="AK399" s="165"/>
      <c r="AL399" s="165"/>
      <c r="AM399" s="165"/>
    </row>
    <row r="400" spans="1:39" outlineLevel="1">
      <c r="A400" s="100"/>
      <c r="B400" s="100"/>
      <c r="C400" s="100"/>
      <c r="D400" s="179"/>
      <c r="E400" s="165"/>
      <c r="F400" s="165"/>
      <c r="G400" s="205"/>
      <c r="H400" s="121"/>
      <c r="I400" s="165"/>
      <c r="J400" s="165"/>
      <c r="K400" s="207"/>
      <c r="L400" s="165"/>
      <c r="M400" s="226"/>
      <c r="N400" s="544"/>
      <c r="O400" s="48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  <c r="AA400" s="165"/>
      <c r="AB400" s="165"/>
      <c r="AC400" s="165"/>
      <c r="AD400" s="165"/>
      <c r="AE400" s="165"/>
      <c r="AF400" s="165"/>
      <c r="AG400" s="165"/>
      <c r="AH400" s="165"/>
      <c r="AI400" s="165"/>
      <c r="AJ400" s="165"/>
      <c r="AK400" s="165"/>
      <c r="AL400" s="165"/>
      <c r="AM400" s="165"/>
    </row>
    <row r="401" spans="1:39" outlineLevel="1">
      <c r="A401" s="100"/>
      <c r="B401" s="100"/>
      <c r="C401" s="100"/>
      <c r="D401" s="179" t="str">
        <f t="shared" ref="D401:D406" si="338">$G$500</f>
        <v>Land</v>
      </c>
      <c r="E401" s="165" t="str">
        <f>H779</f>
        <v>Terminal Domestic - Turbo Prop</v>
      </c>
      <c r="F401" s="165"/>
      <c r="G401" s="165" t="s">
        <v>80</v>
      </c>
      <c r="H401" s="121"/>
      <c r="I401" s="165"/>
      <c r="J401" s="165"/>
      <c r="K401" s="164"/>
      <c r="L401" s="164"/>
      <c r="M401" s="227"/>
      <c r="N401" s="203"/>
      <c r="O401" s="197">
        <f t="shared" ref="O401:X401" si="339">N406</f>
        <v>21287</v>
      </c>
      <c r="P401" s="164">
        <f t="shared" si="339"/>
        <v>21287</v>
      </c>
      <c r="Q401" s="164">
        <f t="shared" si="339"/>
        <v>21287</v>
      </c>
      <c r="R401" s="164">
        <f t="shared" si="339"/>
        <v>21287</v>
      </c>
      <c r="S401" s="164">
        <f t="shared" si="339"/>
        <v>21287</v>
      </c>
      <c r="T401" s="164">
        <f t="shared" si="339"/>
        <v>21287</v>
      </c>
      <c r="U401" s="164">
        <f t="shared" si="339"/>
        <v>21287</v>
      </c>
      <c r="V401" s="164">
        <f t="shared" si="339"/>
        <v>21287</v>
      </c>
      <c r="W401" s="164">
        <f t="shared" si="339"/>
        <v>21287</v>
      </c>
      <c r="X401" s="164">
        <f t="shared" si="339"/>
        <v>21287</v>
      </c>
      <c r="Y401" s="164">
        <f t="shared" ref="Y401:AM401" si="340">X406</f>
        <v>21287</v>
      </c>
      <c r="Z401" s="164">
        <f t="shared" si="340"/>
        <v>21287</v>
      </c>
      <c r="AA401" s="164">
        <f t="shared" si="340"/>
        <v>21287</v>
      </c>
      <c r="AB401" s="164">
        <f t="shared" si="340"/>
        <v>21287</v>
      </c>
      <c r="AC401" s="164">
        <f t="shared" si="340"/>
        <v>21287</v>
      </c>
      <c r="AD401" s="164">
        <f t="shared" si="340"/>
        <v>21287</v>
      </c>
      <c r="AE401" s="164">
        <f t="shared" si="340"/>
        <v>21287</v>
      </c>
      <c r="AF401" s="164">
        <f t="shared" si="340"/>
        <v>21287</v>
      </c>
      <c r="AG401" s="164">
        <f t="shared" si="340"/>
        <v>21287</v>
      </c>
      <c r="AH401" s="164">
        <f t="shared" si="340"/>
        <v>21287</v>
      </c>
      <c r="AI401" s="164">
        <f t="shared" si="340"/>
        <v>21287</v>
      </c>
      <c r="AJ401" s="164">
        <f t="shared" si="340"/>
        <v>21287</v>
      </c>
      <c r="AK401" s="164">
        <f t="shared" si="340"/>
        <v>21287</v>
      </c>
      <c r="AL401" s="164">
        <f t="shared" si="340"/>
        <v>21287</v>
      </c>
      <c r="AM401" s="164">
        <f t="shared" si="340"/>
        <v>21287</v>
      </c>
    </row>
    <row r="402" spans="1:39" outlineLevel="1">
      <c r="A402" s="100"/>
      <c r="B402" s="100"/>
      <c r="C402" s="100"/>
      <c r="D402" s="179" t="str">
        <f t="shared" si="338"/>
        <v>Land</v>
      </c>
      <c r="E402" s="165" t="str">
        <f>H779</f>
        <v>Terminal Domestic - Turbo Prop</v>
      </c>
      <c r="F402" s="165"/>
      <c r="G402" s="165" t="s">
        <v>60</v>
      </c>
      <c r="H402" s="121"/>
      <c r="I402" s="165"/>
      <c r="J402" s="165"/>
      <c r="K402" s="303"/>
      <c r="L402" s="303"/>
      <c r="M402" s="304"/>
      <c r="N402" s="203"/>
      <c r="O402" s="197">
        <f>N406</f>
        <v>21287</v>
      </c>
      <c r="P402" s="164">
        <f t="shared" ref="P402:X402" si="341">O402</f>
        <v>21287</v>
      </c>
      <c r="Q402" s="164">
        <f t="shared" si="341"/>
        <v>21287</v>
      </c>
      <c r="R402" s="164">
        <f t="shared" si="341"/>
        <v>21287</v>
      </c>
      <c r="S402" s="164">
        <f t="shared" si="341"/>
        <v>21287</v>
      </c>
      <c r="T402" s="164">
        <f t="shared" si="341"/>
        <v>21287</v>
      </c>
      <c r="U402" s="164">
        <f t="shared" si="341"/>
        <v>21287</v>
      </c>
      <c r="V402" s="164">
        <f t="shared" si="341"/>
        <v>21287</v>
      </c>
      <c r="W402" s="164">
        <f t="shared" si="341"/>
        <v>21287</v>
      </c>
      <c r="X402" s="164">
        <f t="shared" si="341"/>
        <v>21287</v>
      </c>
      <c r="Y402" s="164">
        <f t="shared" ref="Y402:AM402" si="342">X402</f>
        <v>21287</v>
      </c>
      <c r="Z402" s="164">
        <f t="shared" si="342"/>
        <v>21287</v>
      </c>
      <c r="AA402" s="164">
        <f t="shared" si="342"/>
        <v>21287</v>
      </c>
      <c r="AB402" s="164">
        <f t="shared" si="342"/>
        <v>21287</v>
      </c>
      <c r="AC402" s="164">
        <f t="shared" si="342"/>
        <v>21287</v>
      </c>
      <c r="AD402" s="164">
        <f t="shared" si="342"/>
        <v>21287</v>
      </c>
      <c r="AE402" s="164">
        <f t="shared" si="342"/>
        <v>21287</v>
      </c>
      <c r="AF402" s="164">
        <f t="shared" si="342"/>
        <v>21287</v>
      </c>
      <c r="AG402" s="164">
        <f t="shared" si="342"/>
        <v>21287</v>
      </c>
      <c r="AH402" s="164">
        <f t="shared" si="342"/>
        <v>21287</v>
      </c>
      <c r="AI402" s="164">
        <f t="shared" si="342"/>
        <v>21287</v>
      </c>
      <c r="AJ402" s="164">
        <f t="shared" si="342"/>
        <v>21287</v>
      </c>
      <c r="AK402" s="164">
        <f t="shared" si="342"/>
        <v>21287</v>
      </c>
      <c r="AL402" s="164">
        <f t="shared" si="342"/>
        <v>21287</v>
      </c>
      <c r="AM402" s="164">
        <f t="shared" si="342"/>
        <v>21287</v>
      </c>
    </row>
    <row r="403" spans="1:39" outlineLevel="1">
      <c r="A403" s="100"/>
      <c r="B403" s="100"/>
      <c r="C403" s="100"/>
      <c r="D403" s="179" t="str">
        <f t="shared" si="338"/>
        <v>Land</v>
      </c>
      <c r="E403" s="165" t="str">
        <f>H779</f>
        <v>Terminal Domestic - Turbo Prop</v>
      </c>
      <c r="F403" s="165"/>
      <c r="G403" s="165" t="s">
        <v>79</v>
      </c>
      <c r="H403" s="121"/>
      <c r="I403" s="165"/>
      <c r="J403" s="165"/>
      <c r="K403" s="303"/>
      <c r="L403" s="303"/>
      <c r="M403" s="202"/>
      <c r="N403" s="203"/>
      <c r="O403" s="197">
        <f t="shared" ref="O403:X403" si="343">N405</f>
        <v>0</v>
      </c>
      <c r="P403" s="164">
        <f t="shared" si="343"/>
        <v>0</v>
      </c>
      <c r="Q403" s="164">
        <f t="shared" si="343"/>
        <v>0</v>
      </c>
      <c r="R403" s="164">
        <f t="shared" si="343"/>
        <v>0</v>
      </c>
      <c r="S403" s="164">
        <f t="shared" si="343"/>
        <v>0</v>
      </c>
      <c r="T403" s="164">
        <f t="shared" si="343"/>
        <v>0</v>
      </c>
      <c r="U403" s="164">
        <f t="shared" si="343"/>
        <v>0</v>
      </c>
      <c r="V403" s="164">
        <f t="shared" si="343"/>
        <v>0</v>
      </c>
      <c r="W403" s="164">
        <f t="shared" si="343"/>
        <v>0</v>
      </c>
      <c r="X403" s="164">
        <f t="shared" si="343"/>
        <v>0</v>
      </c>
      <c r="Y403" s="164">
        <f t="shared" ref="Y403:AM403" si="344">X405</f>
        <v>0</v>
      </c>
      <c r="Z403" s="164">
        <f t="shared" si="344"/>
        <v>0</v>
      </c>
      <c r="AA403" s="164">
        <f t="shared" si="344"/>
        <v>0</v>
      </c>
      <c r="AB403" s="164">
        <f t="shared" si="344"/>
        <v>0</v>
      </c>
      <c r="AC403" s="164">
        <f t="shared" si="344"/>
        <v>0</v>
      </c>
      <c r="AD403" s="164">
        <f t="shared" si="344"/>
        <v>0</v>
      </c>
      <c r="AE403" s="164">
        <f t="shared" si="344"/>
        <v>0</v>
      </c>
      <c r="AF403" s="164">
        <f t="shared" si="344"/>
        <v>0</v>
      </c>
      <c r="AG403" s="164">
        <f t="shared" si="344"/>
        <v>0</v>
      </c>
      <c r="AH403" s="164">
        <f t="shared" si="344"/>
        <v>0</v>
      </c>
      <c r="AI403" s="164">
        <f t="shared" si="344"/>
        <v>0</v>
      </c>
      <c r="AJ403" s="164">
        <f t="shared" si="344"/>
        <v>0</v>
      </c>
      <c r="AK403" s="164">
        <f t="shared" si="344"/>
        <v>0</v>
      </c>
      <c r="AL403" s="164">
        <f t="shared" si="344"/>
        <v>0</v>
      </c>
      <c r="AM403" s="164">
        <f t="shared" si="344"/>
        <v>0</v>
      </c>
    </row>
    <row r="404" spans="1:39" outlineLevel="1">
      <c r="A404" s="100"/>
      <c r="B404" s="100"/>
      <c r="C404" s="100"/>
      <c r="D404" s="179" t="str">
        <f t="shared" si="338"/>
        <v>Land</v>
      </c>
      <c r="E404" s="165" t="str">
        <f>H779</f>
        <v>Terminal Domestic - Turbo Prop</v>
      </c>
      <c r="F404" s="165"/>
      <c r="G404" s="165" t="s">
        <v>78</v>
      </c>
      <c r="H404" s="121"/>
      <c r="I404" s="165"/>
      <c r="J404" s="165"/>
      <c r="K404" s="303"/>
      <c r="L404" s="303"/>
      <c r="M404" s="202"/>
      <c r="N404" s="203"/>
      <c r="O404" s="197">
        <f>IFERROR(MIN(O401,O402/'Asset base'!O$97),0)</f>
        <v>0</v>
      </c>
      <c r="P404" s="164">
        <f>IFERROR(MIN(P401,P402/'Asset base'!P$97),0)</f>
        <v>0</v>
      </c>
      <c r="Q404" s="164">
        <f>IFERROR(MIN(Q401,Q402/'Asset base'!Q$97),0)</f>
        <v>0</v>
      </c>
      <c r="R404" s="164">
        <f>IFERROR(MIN(R401,R402/'Asset base'!R$97),0)</f>
        <v>0</v>
      </c>
      <c r="S404" s="164">
        <f>IFERROR(MIN(S401,S402/'Asset base'!S$97),0)</f>
        <v>0</v>
      </c>
      <c r="T404" s="164">
        <f>IFERROR(MIN(T401,T402/'Asset base'!T$97),0)</f>
        <v>0</v>
      </c>
      <c r="U404" s="164">
        <f>IFERROR(MIN(U401,U402/'Asset base'!U$97),0)</f>
        <v>0</v>
      </c>
      <c r="V404" s="164">
        <f>IFERROR(MIN(V401,V402/'Asset base'!V$97),0)</f>
        <v>0</v>
      </c>
      <c r="W404" s="164">
        <f>IFERROR(MIN(W401,W402/'Asset base'!W$97),0)</f>
        <v>0</v>
      </c>
      <c r="X404" s="164">
        <f>IFERROR(MIN(X401,X402/'Asset base'!X$97),0)</f>
        <v>0</v>
      </c>
      <c r="Y404" s="164">
        <f>IFERROR(MIN(Y401,Y402/'Asset base'!Y$97),0)</f>
        <v>0</v>
      </c>
      <c r="Z404" s="164">
        <f>IFERROR(MIN(Z401,Z402/'Asset base'!Z$97),0)</f>
        <v>0</v>
      </c>
      <c r="AA404" s="164">
        <f>IFERROR(MIN(AA401,AA402/'Asset base'!AA$97),0)</f>
        <v>0</v>
      </c>
      <c r="AB404" s="164">
        <f>IFERROR(MIN(AB401,AB402/'Asset base'!AB$97),0)</f>
        <v>0</v>
      </c>
      <c r="AC404" s="164">
        <f>IFERROR(MIN(AC401,AC402/'Asset base'!AC$97),0)</f>
        <v>0</v>
      </c>
      <c r="AD404" s="164">
        <f>IFERROR(MIN(AD401,AD402/'Asset base'!AD$97),0)</f>
        <v>0</v>
      </c>
      <c r="AE404" s="164">
        <f>IFERROR(MIN(AE401,AE402/'Asset base'!AE$97),0)</f>
        <v>0</v>
      </c>
      <c r="AF404" s="164">
        <f>IFERROR(MIN(AF401,AF402/'Asset base'!AF$97),0)</f>
        <v>0</v>
      </c>
      <c r="AG404" s="164">
        <f>IFERROR(MIN(AG401,AG402/'Asset base'!AG$97),0)</f>
        <v>0</v>
      </c>
      <c r="AH404" s="164">
        <f>IFERROR(MIN(AH401,AH402/'Asset base'!AH$97),0)</f>
        <v>0</v>
      </c>
      <c r="AI404" s="164">
        <f>IFERROR(MIN(AI401,AI402/'Asset base'!AI$97),0)</f>
        <v>0</v>
      </c>
      <c r="AJ404" s="164">
        <f>IFERROR(MIN(AJ401,AJ402/'Asset base'!AJ$97),0)</f>
        <v>0</v>
      </c>
      <c r="AK404" s="164">
        <f>IFERROR(MIN(AK401,AK402/'Asset base'!AK$97),0)</f>
        <v>0</v>
      </c>
      <c r="AL404" s="164">
        <f>IFERROR(MIN(AL401,AL402/'Asset base'!AL$97),0)</f>
        <v>0</v>
      </c>
      <c r="AM404" s="164">
        <f>IFERROR(MIN(AM401,AM402/'Asset base'!AM$97),0)</f>
        <v>0</v>
      </c>
    </row>
    <row r="405" spans="1:39" outlineLevel="1">
      <c r="A405" s="100"/>
      <c r="B405" s="100"/>
      <c r="C405" s="100"/>
      <c r="D405" s="179" t="str">
        <f t="shared" si="338"/>
        <v>Land</v>
      </c>
      <c r="E405" s="165" t="str">
        <f>H779</f>
        <v>Terminal Domestic - Turbo Prop</v>
      </c>
      <c r="F405" s="165"/>
      <c r="G405" s="165" t="s">
        <v>77</v>
      </c>
      <c r="H405" s="121"/>
      <c r="I405" s="165"/>
      <c r="J405" s="165"/>
      <c r="K405" s="305"/>
      <c r="L405" s="305"/>
      <c r="M405" s="306"/>
      <c r="N405" s="203"/>
      <c r="O405" s="197">
        <f t="shared" ref="O405:X405" si="345">SUM(O403:O404)</f>
        <v>0</v>
      </c>
      <c r="P405" s="164">
        <f t="shared" si="345"/>
        <v>0</v>
      </c>
      <c r="Q405" s="164">
        <f t="shared" si="345"/>
        <v>0</v>
      </c>
      <c r="R405" s="164">
        <f t="shared" si="345"/>
        <v>0</v>
      </c>
      <c r="S405" s="164">
        <f t="shared" si="345"/>
        <v>0</v>
      </c>
      <c r="T405" s="164">
        <f t="shared" si="345"/>
        <v>0</v>
      </c>
      <c r="U405" s="164">
        <f t="shared" si="345"/>
        <v>0</v>
      </c>
      <c r="V405" s="164">
        <f t="shared" si="345"/>
        <v>0</v>
      </c>
      <c r="W405" s="164">
        <f t="shared" si="345"/>
        <v>0</v>
      </c>
      <c r="X405" s="164">
        <f t="shared" si="345"/>
        <v>0</v>
      </c>
      <c r="Y405" s="164">
        <f>SUM(Y403:Y404)</f>
        <v>0</v>
      </c>
      <c r="Z405" s="164">
        <f t="shared" ref="Z405:AM405" si="346">SUM(Z403:Z404)</f>
        <v>0</v>
      </c>
      <c r="AA405" s="164">
        <f t="shared" si="346"/>
        <v>0</v>
      </c>
      <c r="AB405" s="164">
        <f t="shared" si="346"/>
        <v>0</v>
      </c>
      <c r="AC405" s="164">
        <f t="shared" si="346"/>
        <v>0</v>
      </c>
      <c r="AD405" s="164">
        <f t="shared" si="346"/>
        <v>0</v>
      </c>
      <c r="AE405" s="164">
        <f t="shared" si="346"/>
        <v>0</v>
      </c>
      <c r="AF405" s="164">
        <f t="shared" si="346"/>
        <v>0</v>
      </c>
      <c r="AG405" s="164">
        <f t="shared" si="346"/>
        <v>0</v>
      </c>
      <c r="AH405" s="164">
        <f t="shared" si="346"/>
        <v>0</v>
      </c>
      <c r="AI405" s="164">
        <f t="shared" si="346"/>
        <v>0</v>
      </c>
      <c r="AJ405" s="164">
        <f t="shared" si="346"/>
        <v>0</v>
      </c>
      <c r="AK405" s="164">
        <f t="shared" si="346"/>
        <v>0</v>
      </c>
      <c r="AL405" s="164">
        <f t="shared" si="346"/>
        <v>0</v>
      </c>
      <c r="AM405" s="164">
        <f t="shared" si="346"/>
        <v>0</v>
      </c>
    </row>
    <row r="406" spans="1:39" outlineLevel="1">
      <c r="A406" s="100"/>
      <c r="B406" s="100"/>
      <c r="C406" s="100"/>
      <c r="D406" s="179" t="str">
        <f t="shared" si="338"/>
        <v>Land</v>
      </c>
      <c r="E406" s="165" t="str">
        <f>H779</f>
        <v>Terminal Domestic - Turbo Prop</v>
      </c>
      <c r="F406" s="165"/>
      <c r="G406" s="200" t="s">
        <v>76</v>
      </c>
      <c r="H406" s="201"/>
      <c r="I406" s="200"/>
      <c r="J406" s="200"/>
      <c r="K406" s="198">
        <f t="shared" ref="K406:S406" si="347">K402-K405</f>
        <v>0</v>
      </c>
      <c r="L406" s="198">
        <f t="shared" si="347"/>
        <v>0</v>
      </c>
      <c r="M406" s="227">
        <f>N401</f>
        <v>0</v>
      </c>
      <c r="N406" s="541">
        <f>'[7]2008-2012 Asset Mov''t Revised'!$AJ$75</f>
        <v>21287</v>
      </c>
      <c r="O406" s="199">
        <f t="shared" si="347"/>
        <v>21287</v>
      </c>
      <c r="P406" s="198">
        <f t="shared" si="347"/>
        <v>21287</v>
      </c>
      <c r="Q406" s="198">
        <f t="shared" si="347"/>
        <v>21287</v>
      </c>
      <c r="R406" s="198">
        <f t="shared" si="347"/>
        <v>21287</v>
      </c>
      <c r="S406" s="198">
        <f t="shared" si="347"/>
        <v>21287</v>
      </c>
      <c r="T406" s="198">
        <f t="shared" ref="T406:AM406" si="348">T402-T405</f>
        <v>21287</v>
      </c>
      <c r="U406" s="198">
        <f t="shared" si="348"/>
        <v>21287</v>
      </c>
      <c r="V406" s="198">
        <f t="shared" si="348"/>
        <v>21287</v>
      </c>
      <c r="W406" s="198">
        <f t="shared" si="348"/>
        <v>21287</v>
      </c>
      <c r="X406" s="198">
        <f t="shared" si="348"/>
        <v>21287</v>
      </c>
      <c r="Y406" s="198">
        <f t="shared" si="348"/>
        <v>21287</v>
      </c>
      <c r="Z406" s="198">
        <f t="shared" si="348"/>
        <v>21287</v>
      </c>
      <c r="AA406" s="198">
        <f t="shared" si="348"/>
        <v>21287</v>
      </c>
      <c r="AB406" s="198">
        <f t="shared" si="348"/>
        <v>21287</v>
      </c>
      <c r="AC406" s="198">
        <f t="shared" si="348"/>
        <v>21287</v>
      </c>
      <c r="AD406" s="198">
        <f t="shared" si="348"/>
        <v>21287</v>
      </c>
      <c r="AE406" s="198">
        <f t="shared" si="348"/>
        <v>21287</v>
      </c>
      <c r="AF406" s="198">
        <f t="shared" si="348"/>
        <v>21287</v>
      </c>
      <c r="AG406" s="198">
        <f t="shared" si="348"/>
        <v>21287</v>
      </c>
      <c r="AH406" s="198">
        <f t="shared" si="348"/>
        <v>21287</v>
      </c>
      <c r="AI406" s="198">
        <f t="shared" si="348"/>
        <v>21287</v>
      </c>
      <c r="AJ406" s="198">
        <f t="shared" si="348"/>
        <v>21287</v>
      </c>
      <c r="AK406" s="198">
        <f t="shared" si="348"/>
        <v>21287</v>
      </c>
      <c r="AL406" s="198">
        <f t="shared" si="348"/>
        <v>21287</v>
      </c>
      <c r="AM406" s="198">
        <f t="shared" si="348"/>
        <v>21287</v>
      </c>
    </row>
    <row r="407" spans="1:39" outlineLevel="1">
      <c r="A407" s="100"/>
      <c r="B407" s="100"/>
      <c r="C407" s="100"/>
      <c r="D407" s="179"/>
      <c r="E407" s="165"/>
      <c r="F407" s="165"/>
      <c r="G407" s="165"/>
      <c r="H407" s="121"/>
      <c r="I407" s="165"/>
      <c r="J407" s="165"/>
      <c r="K407" s="164"/>
      <c r="L407" s="164"/>
      <c r="M407" s="227"/>
      <c r="N407" s="203"/>
      <c r="O407" s="197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</row>
    <row r="408" spans="1:39" outlineLevel="1">
      <c r="A408" s="100"/>
      <c r="B408" s="100"/>
      <c r="C408" s="100"/>
      <c r="D408" s="179"/>
      <c r="E408" s="165"/>
      <c r="F408" s="165"/>
      <c r="G408" s="206" t="str">
        <f>G790</f>
        <v>Buildings</v>
      </c>
      <c r="H408" s="121"/>
      <c r="I408" s="165"/>
      <c r="J408" s="165"/>
      <c r="K408" s="207"/>
      <c r="L408" s="164"/>
      <c r="M408" s="227"/>
      <c r="N408" s="203"/>
      <c r="O408" s="197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  <c r="AF408" s="165"/>
      <c r="AG408" s="165"/>
      <c r="AH408" s="165"/>
      <c r="AI408" s="165"/>
      <c r="AJ408" s="165"/>
      <c r="AK408" s="165"/>
      <c r="AL408" s="165"/>
      <c r="AM408" s="165"/>
    </row>
    <row r="409" spans="1:39" outlineLevel="1">
      <c r="A409" s="100"/>
      <c r="B409" s="100"/>
      <c r="C409" s="100"/>
      <c r="D409" s="179"/>
      <c r="E409" s="165"/>
      <c r="F409" s="165"/>
      <c r="G409" s="205"/>
      <c r="H409" s="121"/>
      <c r="I409" s="165"/>
      <c r="J409" s="165"/>
      <c r="K409" s="207"/>
      <c r="L409" s="164"/>
      <c r="M409" s="227"/>
      <c r="N409" s="203"/>
      <c r="O409" s="197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  <c r="AG409" s="165"/>
      <c r="AH409" s="165"/>
      <c r="AI409" s="165"/>
      <c r="AJ409" s="165"/>
      <c r="AK409" s="165"/>
      <c r="AL409" s="165"/>
      <c r="AM409" s="165"/>
    </row>
    <row r="410" spans="1:39" outlineLevel="1">
      <c r="A410" s="100"/>
      <c r="B410" s="100"/>
      <c r="C410" s="100"/>
      <c r="D410" s="179" t="str">
        <f t="shared" ref="D410:D415" si="349">$G$509</f>
        <v>Buildings</v>
      </c>
      <c r="E410" s="165" t="str">
        <f>H779</f>
        <v>Terminal Domestic - Turbo Prop</v>
      </c>
      <c r="F410" s="165"/>
      <c r="G410" s="165" t="s">
        <v>80</v>
      </c>
      <c r="H410" s="121"/>
      <c r="I410" s="165"/>
      <c r="J410" s="165"/>
      <c r="K410" s="164"/>
      <c r="L410" s="164"/>
      <c r="M410" s="227"/>
      <c r="N410" s="203">
        <f>[2]OUTPUT!N897</f>
        <v>0</v>
      </c>
      <c r="O410" s="197">
        <f t="shared" ref="O410:X410" si="350">N415</f>
        <v>3539.0293513789775</v>
      </c>
      <c r="P410" s="164">
        <f t="shared" si="350"/>
        <v>3185.1264162410798</v>
      </c>
      <c r="Q410" s="164">
        <f t="shared" si="350"/>
        <v>2831.2234811031822</v>
      </c>
      <c r="R410" s="164">
        <f t="shared" si="350"/>
        <v>2477.3205459652841</v>
      </c>
      <c r="S410" s="164">
        <f t="shared" si="350"/>
        <v>2123.4176108273864</v>
      </c>
      <c r="T410" s="164">
        <f t="shared" si="350"/>
        <v>1769.5146756894887</v>
      </c>
      <c r="U410" s="164">
        <f t="shared" si="350"/>
        <v>1415.6117405515911</v>
      </c>
      <c r="V410" s="164">
        <f t="shared" si="350"/>
        <v>1061.7088054136934</v>
      </c>
      <c r="W410" s="164">
        <f t="shared" si="350"/>
        <v>707.80587027579577</v>
      </c>
      <c r="X410" s="164">
        <f t="shared" si="350"/>
        <v>353.90293513789811</v>
      </c>
      <c r="Y410" s="164">
        <f t="shared" ref="Y410:AM410" si="351">X415</f>
        <v>0</v>
      </c>
      <c r="Z410" s="164">
        <f t="shared" si="351"/>
        <v>0</v>
      </c>
      <c r="AA410" s="164">
        <f t="shared" si="351"/>
        <v>0</v>
      </c>
      <c r="AB410" s="164">
        <f t="shared" si="351"/>
        <v>0</v>
      </c>
      <c r="AC410" s="164">
        <f t="shared" si="351"/>
        <v>0</v>
      </c>
      <c r="AD410" s="164">
        <f t="shared" si="351"/>
        <v>0</v>
      </c>
      <c r="AE410" s="164">
        <f t="shared" si="351"/>
        <v>0</v>
      </c>
      <c r="AF410" s="164">
        <f t="shared" si="351"/>
        <v>0</v>
      </c>
      <c r="AG410" s="164">
        <f t="shared" si="351"/>
        <v>0</v>
      </c>
      <c r="AH410" s="164">
        <f t="shared" si="351"/>
        <v>0</v>
      </c>
      <c r="AI410" s="164">
        <f t="shared" si="351"/>
        <v>0</v>
      </c>
      <c r="AJ410" s="164">
        <f t="shared" si="351"/>
        <v>0</v>
      </c>
      <c r="AK410" s="164">
        <f t="shared" si="351"/>
        <v>0</v>
      </c>
      <c r="AL410" s="164">
        <f t="shared" si="351"/>
        <v>0</v>
      </c>
      <c r="AM410" s="164">
        <f t="shared" si="351"/>
        <v>0</v>
      </c>
    </row>
    <row r="411" spans="1:39" outlineLevel="1">
      <c r="A411" s="100"/>
      <c r="B411" s="100"/>
      <c r="C411" s="100"/>
      <c r="D411" s="179" t="str">
        <f t="shared" si="349"/>
        <v>Buildings</v>
      </c>
      <c r="E411" s="165" t="str">
        <f>H779</f>
        <v>Terminal Domestic - Turbo Prop</v>
      </c>
      <c r="F411" s="165"/>
      <c r="G411" s="165" t="s">
        <v>60</v>
      </c>
      <c r="H411" s="121"/>
      <c r="I411" s="165"/>
      <c r="J411" s="165"/>
      <c r="K411" s="303"/>
      <c r="L411" s="303"/>
      <c r="M411" s="304"/>
      <c r="N411" s="203">
        <f>[2]OUTPUT!N898</f>
        <v>0</v>
      </c>
      <c r="O411" s="197">
        <f>N415</f>
        <v>3539.0293513789775</v>
      </c>
      <c r="P411" s="164">
        <f t="shared" ref="P411:X411" si="352">O411</f>
        <v>3539.0293513789775</v>
      </c>
      <c r="Q411" s="164">
        <f t="shared" si="352"/>
        <v>3539.0293513789775</v>
      </c>
      <c r="R411" s="164">
        <f t="shared" si="352"/>
        <v>3539.0293513789775</v>
      </c>
      <c r="S411" s="164">
        <f t="shared" si="352"/>
        <v>3539.0293513789775</v>
      </c>
      <c r="T411" s="164">
        <f t="shared" si="352"/>
        <v>3539.0293513789775</v>
      </c>
      <c r="U411" s="164">
        <f t="shared" si="352"/>
        <v>3539.0293513789775</v>
      </c>
      <c r="V411" s="164">
        <f t="shared" si="352"/>
        <v>3539.0293513789775</v>
      </c>
      <c r="W411" s="164">
        <f t="shared" si="352"/>
        <v>3539.0293513789775</v>
      </c>
      <c r="X411" s="164">
        <f t="shared" si="352"/>
        <v>3539.0293513789775</v>
      </c>
      <c r="Y411" s="164">
        <f t="shared" ref="Y411:AM411" si="353">X411</f>
        <v>3539.0293513789775</v>
      </c>
      <c r="Z411" s="164">
        <f t="shared" si="353"/>
        <v>3539.0293513789775</v>
      </c>
      <c r="AA411" s="164">
        <f t="shared" si="353"/>
        <v>3539.0293513789775</v>
      </c>
      <c r="AB411" s="164">
        <f t="shared" si="353"/>
        <v>3539.0293513789775</v>
      </c>
      <c r="AC411" s="164">
        <f t="shared" si="353"/>
        <v>3539.0293513789775</v>
      </c>
      <c r="AD411" s="164">
        <f t="shared" si="353"/>
        <v>3539.0293513789775</v>
      </c>
      <c r="AE411" s="164">
        <f t="shared" si="353"/>
        <v>3539.0293513789775</v>
      </c>
      <c r="AF411" s="164">
        <f t="shared" si="353"/>
        <v>3539.0293513789775</v>
      </c>
      <c r="AG411" s="164">
        <f t="shared" si="353"/>
        <v>3539.0293513789775</v>
      </c>
      <c r="AH411" s="164">
        <f t="shared" si="353"/>
        <v>3539.0293513789775</v>
      </c>
      <c r="AI411" s="164">
        <f t="shared" si="353"/>
        <v>3539.0293513789775</v>
      </c>
      <c r="AJ411" s="164">
        <f t="shared" si="353"/>
        <v>3539.0293513789775</v>
      </c>
      <c r="AK411" s="164">
        <f t="shared" si="353"/>
        <v>3539.0293513789775</v>
      </c>
      <c r="AL411" s="164">
        <f t="shared" si="353"/>
        <v>3539.0293513789775</v>
      </c>
      <c r="AM411" s="164">
        <f t="shared" si="353"/>
        <v>3539.0293513789775</v>
      </c>
    </row>
    <row r="412" spans="1:39" outlineLevel="1">
      <c r="A412" s="100"/>
      <c r="B412" s="100"/>
      <c r="C412" s="100"/>
      <c r="D412" s="179" t="str">
        <f t="shared" si="349"/>
        <v>Buildings</v>
      </c>
      <c r="E412" s="165" t="str">
        <f>H779</f>
        <v>Terminal Domestic - Turbo Prop</v>
      </c>
      <c r="F412" s="165"/>
      <c r="G412" s="165" t="s">
        <v>79</v>
      </c>
      <c r="H412" s="121"/>
      <c r="I412" s="165"/>
      <c r="J412" s="164"/>
      <c r="K412" s="303"/>
      <c r="L412" s="303"/>
      <c r="M412" s="202"/>
      <c r="N412" s="203">
        <f>[2]OUTPUT!N899</f>
        <v>0</v>
      </c>
      <c r="O412" s="197">
        <f t="shared" ref="O412:X412" si="354">N414</f>
        <v>0</v>
      </c>
      <c r="P412" s="164">
        <f t="shared" si="354"/>
        <v>353.90293513789777</v>
      </c>
      <c r="Q412" s="164">
        <f t="shared" si="354"/>
        <v>707.80587027579554</v>
      </c>
      <c r="R412" s="164">
        <f t="shared" si="354"/>
        <v>1061.7088054136934</v>
      </c>
      <c r="S412" s="164">
        <f t="shared" si="354"/>
        <v>1415.6117405515911</v>
      </c>
      <c r="T412" s="164">
        <f t="shared" si="354"/>
        <v>1769.5146756894887</v>
      </c>
      <c r="U412" s="164">
        <f t="shared" si="354"/>
        <v>2123.4176108273864</v>
      </c>
      <c r="V412" s="164">
        <f t="shared" si="354"/>
        <v>2477.3205459652841</v>
      </c>
      <c r="W412" s="164">
        <f t="shared" si="354"/>
        <v>2831.2234811031817</v>
      </c>
      <c r="X412" s="164">
        <f t="shared" si="354"/>
        <v>3185.1264162410794</v>
      </c>
      <c r="Y412" s="164">
        <f t="shared" ref="Y412:AM412" si="355">X414</f>
        <v>3539.029351378977</v>
      </c>
      <c r="Z412" s="164">
        <f t="shared" si="355"/>
        <v>3539.029351378977</v>
      </c>
      <c r="AA412" s="164">
        <f t="shared" si="355"/>
        <v>3539.029351378977</v>
      </c>
      <c r="AB412" s="164">
        <f t="shared" si="355"/>
        <v>3539.029351378977</v>
      </c>
      <c r="AC412" s="164">
        <f t="shared" si="355"/>
        <v>3539.029351378977</v>
      </c>
      <c r="AD412" s="164">
        <f t="shared" si="355"/>
        <v>3539.029351378977</v>
      </c>
      <c r="AE412" s="164">
        <f t="shared" si="355"/>
        <v>3539.029351378977</v>
      </c>
      <c r="AF412" s="164">
        <f t="shared" si="355"/>
        <v>3539.029351378977</v>
      </c>
      <c r="AG412" s="164">
        <f t="shared" si="355"/>
        <v>3539.029351378977</v>
      </c>
      <c r="AH412" s="164">
        <f t="shared" si="355"/>
        <v>3539.029351378977</v>
      </c>
      <c r="AI412" s="164">
        <f t="shared" si="355"/>
        <v>3539.029351378977</v>
      </c>
      <c r="AJ412" s="164">
        <f t="shared" si="355"/>
        <v>3539.029351378977</v>
      </c>
      <c r="AK412" s="164">
        <f t="shared" si="355"/>
        <v>3539.029351378977</v>
      </c>
      <c r="AL412" s="164">
        <f t="shared" si="355"/>
        <v>3539.029351378977</v>
      </c>
      <c r="AM412" s="164">
        <f t="shared" si="355"/>
        <v>3539.029351378977</v>
      </c>
    </row>
    <row r="413" spans="1:39" outlineLevel="1">
      <c r="A413" s="100"/>
      <c r="B413" s="100"/>
      <c r="C413" s="100"/>
      <c r="D413" s="179" t="str">
        <f t="shared" si="349"/>
        <v>Buildings</v>
      </c>
      <c r="E413" s="165" t="str">
        <f>H779</f>
        <v>Terminal Domestic - Turbo Prop</v>
      </c>
      <c r="F413" s="165"/>
      <c r="G413" s="165" t="s">
        <v>78</v>
      </c>
      <c r="H413" s="121"/>
      <c r="I413" s="165"/>
      <c r="J413" s="165"/>
      <c r="K413" s="303"/>
      <c r="L413" s="303"/>
      <c r="M413" s="202"/>
      <c r="N413" s="203">
        <f>[2]OUTPUT!N900</f>
        <v>0</v>
      </c>
      <c r="O413" s="197">
        <f>IFERROR(MIN(O410,O411/'Asset base'!O$98),0)</f>
        <v>353.90293513789777</v>
      </c>
      <c r="P413" s="164">
        <f>IFERROR(MIN(P410,P411/'Asset base'!P$98),0)</f>
        <v>353.90293513789777</v>
      </c>
      <c r="Q413" s="164">
        <f>IFERROR(MIN(Q410,Q411/'Asset base'!Q$98),0)</f>
        <v>353.90293513789777</v>
      </c>
      <c r="R413" s="164">
        <f>IFERROR(MIN(R410,R411/'Asset base'!R$98),0)</f>
        <v>353.90293513789777</v>
      </c>
      <c r="S413" s="164">
        <f>IFERROR(MIN(S410,S411/'Asset base'!S$98),0)</f>
        <v>353.90293513789777</v>
      </c>
      <c r="T413" s="164">
        <f>IFERROR(MIN(T410,T411/'Asset base'!T$98),0)</f>
        <v>353.90293513789777</v>
      </c>
      <c r="U413" s="164">
        <f>IFERROR(MIN(U410,U411/'Asset base'!U$98),0)</f>
        <v>353.90293513789777</v>
      </c>
      <c r="V413" s="164">
        <f>IFERROR(MIN(V410,V411/'Asset base'!V$98),0)</f>
        <v>353.90293513789777</v>
      </c>
      <c r="W413" s="164">
        <f>IFERROR(MIN(W410,W411/'Asset base'!W$98),0)</f>
        <v>353.90293513789777</v>
      </c>
      <c r="X413" s="164">
        <f>IFERROR(MIN(X410,X411/'Asset base'!X$98),0)</f>
        <v>353.90293513789777</v>
      </c>
      <c r="Y413" s="164">
        <f>IFERROR(MIN(Y410,Y411/'Asset base'!Y$98),0)</f>
        <v>0</v>
      </c>
      <c r="Z413" s="164">
        <f>IFERROR(MIN(Z410,Z411/'Asset base'!Z$98),0)</f>
        <v>0</v>
      </c>
      <c r="AA413" s="164">
        <f>IFERROR(MIN(AA410,AA411/'Asset base'!AA$98),0)</f>
        <v>0</v>
      </c>
      <c r="AB413" s="164">
        <f>IFERROR(MIN(AB410,AB411/'Asset base'!AB$98),0)</f>
        <v>0</v>
      </c>
      <c r="AC413" s="164">
        <f>IFERROR(MIN(AC410,AC411/'Asset base'!AC$98),0)</f>
        <v>0</v>
      </c>
      <c r="AD413" s="164">
        <f>IFERROR(MIN(AD410,AD411/'Asset base'!AD$98),0)</f>
        <v>0</v>
      </c>
      <c r="AE413" s="164">
        <f>IFERROR(MIN(AE410,AE411/'Asset base'!AE$98),0)</f>
        <v>0</v>
      </c>
      <c r="AF413" s="164">
        <f>IFERROR(MIN(AF410,AF411/'Asset base'!AF$98),0)</f>
        <v>0</v>
      </c>
      <c r="AG413" s="164">
        <f>IFERROR(MIN(AG410,AG411/'Asset base'!AG$98),0)</f>
        <v>0</v>
      </c>
      <c r="AH413" s="164">
        <f>IFERROR(MIN(AH410,AH411/'Asset base'!AH$98),0)</f>
        <v>0</v>
      </c>
      <c r="AI413" s="164">
        <f>IFERROR(MIN(AI410,AI411/'Asset base'!AI$98),0)</f>
        <v>0</v>
      </c>
      <c r="AJ413" s="164">
        <f>IFERROR(MIN(AJ410,AJ411/'Asset base'!AJ$98),0)</f>
        <v>0</v>
      </c>
      <c r="AK413" s="164">
        <f>IFERROR(MIN(AK410,AK411/'Asset base'!AK$98),0)</f>
        <v>0</v>
      </c>
      <c r="AL413" s="164">
        <f>IFERROR(MIN(AL410,AL411/'Asset base'!AL$98),0)</f>
        <v>0</v>
      </c>
      <c r="AM413" s="164">
        <f>IFERROR(MIN(AM410,AM411/'Asset base'!AM$98),0)</f>
        <v>0</v>
      </c>
    </row>
    <row r="414" spans="1:39" outlineLevel="1">
      <c r="A414" s="100"/>
      <c r="B414" s="100"/>
      <c r="C414" s="100"/>
      <c r="D414" s="179" t="str">
        <f t="shared" si="349"/>
        <v>Buildings</v>
      </c>
      <c r="E414" s="165" t="str">
        <f>H779</f>
        <v>Terminal Domestic - Turbo Prop</v>
      </c>
      <c r="F414" s="165"/>
      <c r="G414" s="165" t="s">
        <v>77</v>
      </c>
      <c r="H414" s="121"/>
      <c r="I414" s="165"/>
      <c r="J414" s="165"/>
      <c r="K414" s="305"/>
      <c r="L414" s="305"/>
      <c r="M414" s="306"/>
      <c r="N414" s="203">
        <f>[2]OUTPUT!N901</f>
        <v>0</v>
      </c>
      <c r="O414" s="164">
        <f t="shared" ref="O414:X414" si="356">SUM(O412:O413)</f>
        <v>353.90293513789777</v>
      </c>
      <c r="P414" s="164">
        <f t="shared" si="356"/>
        <v>707.80587027579554</v>
      </c>
      <c r="Q414" s="164">
        <f t="shared" si="356"/>
        <v>1061.7088054136934</v>
      </c>
      <c r="R414" s="164">
        <f t="shared" si="356"/>
        <v>1415.6117405515911</v>
      </c>
      <c r="S414" s="164">
        <f t="shared" si="356"/>
        <v>1769.5146756894887</v>
      </c>
      <c r="T414" s="164">
        <f t="shared" si="356"/>
        <v>2123.4176108273864</v>
      </c>
      <c r="U414" s="164">
        <f t="shared" si="356"/>
        <v>2477.3205459652841</v>
      </c>
      <c r="V414" s="164">
        <f t="shared" si="356"/>
        <v>2831.2234811031817</v>
      </c>
      <c r="W414" s="164">
        <f t="shared" si="356"/>
        <v>3185.1264162410794</v>
      </c>
      <c r="X414" s="164">
        <f t="shared" si="356"/>
        <v>3539.029351378977</v>
      </c>
      <c r="Y414" s="164">
        <f>SUM(Y412:Y413)</f>
        <v>3539.029351378977</v>
      </c>
      <c r="Z414" s="164">
        <f t="shared" ref="Z414:AM414" si="357">SUM(Z412:Z413)</f>
        <v>3539.029351378977</v>
      </c>
      <c r="AA414" s="164">
        <f t="shared" si="357"/>
        <v>3539.029351378977</v>
      </c>
      <c r="AB414" s="164">
        <f t="shared" si="357"/>
        <v>3539.029351378977</v>
      </c>
      <c r="AC414" s="164">
        <f t="shared" si="357"/>
        <v>3539.029351378977</v>
      </c>
      <c r="AD414" s="164">
        <f t="shared" si="357"/>
        <v>3539.029351378977</v>
      </c>
      <c r="AE414" s="164">
        <f t="shared" si="357"/>
        <v>3539.029351378977</v>
      </c>
      <c r="AF414" s="164">
        <f t="shared" si="357"/>
        <v>3539.029351378977</v>
      </c>
      <c r="AG414" s="164">
        <f t="shared" si="357"/>
        <v>3539.029351378977</v>
      </c>
      <c r="AH414" s="164">
        <f t="shared" si="357"/>
        <v>3539.029351378977</v>
      </c>
      <c r="AI414" s="164">
        <f t="shared" si="357"/>
        <v>3539.029351378977</v>
      </c>
      <c r="AJ414" s="164">
        <f t="shared" si="357"/>
        <v>3539.029351378977</v>
      </c>
      <c r="AK414" s="164">
        <f t="shared" si="357"/>
        <v>3539.029351378977</v>
      </c>
      <c r="AL414" s="164">
        <f t="shared" si="357"/>
        <v>3539.029351378977</v>
      </c>
      <c r="AM414" s="164">
        <f t="shared" si="357"/>
        <v>3539.029351378977</v>
      </c>
    </row>
    <row r="415" spans="1:39" outlineLevel="1">
      <c r="A415" s="100"/>
      <c r="B415" s="100"/>
      <c r="C415" s="100"/>
      <c r="D415" s="179" t="str">
        <f t="shared" si="349"/>
        <v>Buildings</v>
      </c>
      <c r="E415" s="165" t="str">
        <f>H779</f>
        <v>Terminal Domestic - Turbo Prop</v>
      </c>
      <c r="F415" s="165"/>
      <c r="G415" s="200" t="s">
        <v>76</v>
      </c>
      <c r="H415" s="201"/>
      <c r="I415" s="200"/>
      <c r="J415" s="200"/>
      <c r="K415" s="198">
        <f t="shared" ref="K415:S415" si="358">K411-K414</f>
        <v>0</v>
      </c>
      <c r="L415" s="198">
        <f t="shared" si="358"/>
        <v>0</v>
      </c>
      <c r="M415" s="227">
        <f>N410</f>
        <v>0</v>
      </c>
      <c r="N415" s="542">
        <f>'[7]2008-2012 Asset Mov''t Revised'!$AJ$76</f>
        <v>3539.0293513789775</v>
      </c>
      <c r="O415" s="198">
        <f t="shared" si="358"/>
        <v>3185.1264162410798</v>
      </c>
      <c r="P415" s="198">
        <f t="shared" si="358"/>
        <v>2831.2234811031822</v>
      </c>
      <c r="Q415" s="198">
        <f t="shared" si="358"/>
        <v>2477.3205459652841</v>
      </c>
      <c r="R415" s="198">
        <f t="shared" si="358"/>
        <v>2123.4176108273864</v>
      </c>
      <c r="S415" s="198">
        <f t="shared" si="358"/>
        <v>1769.5146756894887</v>
      </c>
      <c r="T415" s="198">
        <f t="shared" ref="T415:AM415" si="359">T411-T414</f>
        <v>1415.6117405515911</v>
      </c>
      <c r="U415" s="198">
        <f t="shared" si="359"/>
        <v>1061.7088054136934</v>
      </c>
      <c r="V415" s="198">
        <f t="shared" si="359"/>
        <v>707.80587027579577</v>
      </c>
      <c r="W415" s="198">
        <f t="shared" si="359"/>
        <v>353.90293513789811</v>
      </c>
      <c r="X415" s="198">
        <f t="shared" si="359"/>
        <v>0</v>
      </c>
      <c r="Y415" s="198">
        <f t="shared" si="359"/>
        <v>0</v>
      </c>
      <c r="Z415" s="198">
        <f t="shared" si="359"/>
        <v>0</v>
      </c>
      <c r="AA415" s="198">
        <f t="shared" si="359"/>
        <v>0</v>
      </c>
      <c r="AB415" s="198">
        <f t="shared" si="359"/>
        <v>0</v>
      </c>
      <c r="AC415" s="198">
        <f t="shared" si="359"/>
        <v>0</v>
      </c>
      <c r="AD415" s="198">
        <f t="shared" si="359"/>
        <v>0</v>
      </c>
      <c r="AE415" s="198">
        <f t="shared" si="359"/>
        <v>0</v>
      </c>
      <c r="AF415" s="198">
        <f t="shared" si="359"/>
        <v>0</v>
      </c>
      <c r="AG415" s="198">
        <f t="shared" si="359"/>
        <v>0</v>
      </c>
      <c r="AH415" s="198">
        <f t="shared" si="359"/>
        <v>0</v>
      </c>
      <c r="AI415" s="198">
        <f t="shared" si="359"/>
        <v>0</v>
      </c>
      <c r="AJ415" s="198">
        <f t="shared" si="359"/>
        <v>0</v>
      </c>
      <c r="AK415" s="198">
        <f t="shared" si="359"/>
        <v>0</v>
      </c>
      <c r="AL415" s="198">
        <f t="shared" si="359"/>
        <v>0</v>
      </c>
      <c r="AM415" s="198">
        <f t="shared" si="359"/>
        <v>0</v>
      </c>
    </row>
    <row r="416" spans="1:39" outlineLevel="1">
      <c r="A416" s="100"/>
      <c r="B416" s="100"/>
      <c r="C416" s="100"/>
      <c r="D416" s="179"/>
      <c r="E416" s="165"/>
      <c r="F416" s="165"/>
      <c r="G416" s="205"/>
      <c r="H416" s="121"/>
      <c r="I416" s="165"/>
      <c r="J416" s="165"/>
      <c r="K416" s="207"/>
      <c r="L416" s="207"/>
      <c r="M416" s="228"/>
      <c r="N416" s="303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</row>
    <row r="417" spans="1:39" outlineLevel="1">
      <c r="A417" s="100"/>
      <c r="B417" s="100"/>
      <c r="C417" s="100"/>
      <c r="D417" s="179"/>
      <c r="E417" s="165"/>
      <c r="F417" s="165"/>
      <c r="G417" s="206" t="str">
        <f>G799</f>
        <v>Computers &amp; Furniture</v>
      </c>
      <c r="H417" s="121"/>
      <c r="I417" s="165"/>
      <c r="J417" s="165"/>
      <c r="K417" s="207"/>
      <c r="L417" s="164"/>
      <c r="M417" s="227"/>
      <c r="N417" s="203"/>
      <c r="O417" s="197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  <c r="AA417" s="165"/>
      <c r="AB417" s="165"/>
      <c r="AC417" s="165"/>
      <c r="AD417" s="165"/>
      <c r="AE417" s="165"/>
      <c r="AF417" s="165"/>
      <c r="AG417" s="165"/>
      <c r="AH417" s="165"/>
      <c r="AI417" s="165"/>
      <c r="AJ417" s="165"/>
      <c r="AK417" s="165"/>
      <c r="AL417" s="165"/>
      <c r="AM417" s="165"/>
    </row>
    <row r="418" spans="1:39" outlineLevel="1">
      <c r="A418" s="100"/>
      <c r="B418" s="100"/>
      <c r="C418" s="100"/>
      <c r="D418" s="179"/>
      <c r="E418" s="165"/>
      <c r="F418" s="165"/>
      <c r="G418" s="205"/>
      <c r="H418" s="121"/>
      <c r="I418" s="165"/>
      <c r="J418" s="165"/>
      <c r="K418" s="207"/>
      <c r="L418" s="164"/>
      <c r="M418" s="227"/>
      <c r="N418" s="203"/>
      <c r="O418" s="197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  <c r="AA418" s="165"/>
      <c r="AB418" s="165"/>
      <c r="AC418" s="165"/>
      <c r="AD418" s="165"/>
      <c r="AE418" s="165"/>
      <c r="AF418" s="165"/>
      <c r="AG418" s="165"/>
      <c r="AH418" s="165"/>
      <c r="AI418" s="165"/>
      <c r="AJ418" s="165"/>
      <c r="AK418" s="165"/>
      <c r="AL418" s="165"/>
      <c r="AM418" s="165"/>
    </row>
    <row r="419" spans="1:39" outlineLevel="1">
      <c r="A419" s="100"/>
      <c r="B419" s="100"/>
      <c r="C419" s="100"/>
      <c r="D419" s="179" t="str">
        <f t="shared" ref="D419:D424" si="360">$G$518</f>
        <v>Computers &amp; Furniture</v>
      </c>
      <c r="E419" s="165" t="str">
        <f>H779</f>
        <v>Terminal Domestic - Turbo Prop</v>
      </c>
      <c r="F419" s="165"/>
      <c r="G419" s="165" t="s">
        <v>80</v>
      </c>
      <c r="H419" s="121"/>
      <c r="I419" s="165"/>
      <c r="J419" s="165"/>
      <c r="K419" s="164"/>
      <c r="L419" s="164"/>
      <c r="M419" s="227"/>
      <c r="N419" s="203"/>
      <c r="O419" s="197">
        <f t="shared" ref="O419:X419" si="361">N424</f>
        <v>26962.404147823356</v>
      </c>
      <c r="P419" s="164">
        <f t="shared" si="361"/>
        <v>21569.923318258683</v>
      </c>
      <c r="Q419" s="164">
        <f t="shared" si="361"/>
        <v>16177.442488694014</v>
      </c>
      <c r="R419" s="164">
        <f t="shared" si="361"/>
        <v>10784.961659129343</v>
      </c>
      <c r="S419" s="164">
        <f t="shared" si="361"/>
        <v>5392.4808295646726</v>
      </c>
      <c r="T419" s="164">
        <f t="shared" si="361"/>
        <v>0</v>
      </c>
      <c r="U419" s="164">
        <f t="shared" si="361"/>
        <v>0</v>
      </c>
      <c r="V419" s="164">
        <f t="shared" si="361"/>
        <v>0</v>
      </c>
      <c r="W419" s="164">
        <f t="shared" si="361"/>
        <v>0</v>
      </c>
      <c r="X419" s="164">
        <f t="shared" si="361"/>
        <v>0</v>
      </c>
      <c r="Y419" s="164">
        <f t="shared" ref="Y419:AM419" si="362">X424</f>
        <v>0</v>
      </c>
      <c r="Z419" s="164">
        <f t="shared" si="362"/>
        <v>0</v>
      </c>
      <c r="AA419" s="164">
        <f t="shared" si="362"/>
        <v>0</v>
      </c>
      <c r="AB419" s="164">
        <f t="shared" si="362"/>
        <v>0</v>
      </c>
      <c r="AC419" s="164">
        <f t="shared" si="362"/>
        <v>0</v>
      </c>
      <c r="AD419" s="164">
        <f t="shared" si="362"/>
        <v>0</v>
      </c>
      <c r="AE419" s="164">
        <f t="shared" si="362"/>
        <v>0</v>
      </c>
      <c r="AF419" s="164">
        <f t="shared" si="362"/>
        <v>0</v>
      </c>
      <c r="AG419" s="164">
        <f t="shared" si="362"/>
        <v>0</v>
      </c>
      <c r="AH419" s="164">
        <f t="shared" si="362"/>
        <v>0</v>
      </c>
      <c r="AI419" s="164">
        <f t="shared" si="362"/>
        <v>0</v>
      </c>
      <c r="AJ419" s="164">
        <f t="shared" si="362"/>
        <v>0</v>
      </c>
      <c r="AK419" s="164">
        <f t="shared" si="362"/>
        <v>0</v>
      </c>
      <c r="AL419" s="164">
        <f t="shared" si="362"/>
        <v>0</v>
      </c>
      <c r="AM419" s="164">
        <f t="shared" si="362"/>
        <v>0</v>
      </c>
    </row>
    <row r="420" spans="1:39" outlineLevel="1">
      <c r="A420" s="100"/>
      <c r="B420" s="100"/>
      <c r="C420" s="100"/>
      <c r="D420" s="179" t="str">
        <f t="shared" si="360"/>
        <v>Computers &amp; Furniture</v>
      </c>
      <c r="E420" s="165" t="str">
        <f>H779</f>
        <v>Terminal Domestic - Turbo Prop</v>
      </c>
      <c r="F420" s="165"/>
      <c r="G420" s="165" t="s">
        <v>60</v>
      </c>
      <c r="H420" s="121"/>
      <c r="I420" s="165"/>
      <c r="J420" s="165"/>
      <c r="K420" s="303"/>
      <c r="L420" s="303"/>
      <c r="M420" s="304"/>
      <c r="N420" s="203"/>
      <c r="O420" s="197">
        <f>N424</f>
        <v>26962.404147823356</v>
      </c>
      <c r="P420" s="164">
        <f t="shared" ref="P420:X420" si="363">O420</f>
        <v>26962.404147823356</v>
      </c>
      <c r="Q420" s="164">
        <f t="shared" si="363"/>
        <v>26962.404147823356</v>
      </c>
      <c r="R420" s="164">
        <f t="shared" si="363"/>
        <v>26962.404147823356</v>
      </c>
      <c r="S420" s="164">
        <f t="shared" si="363"/>
        <v>26962.404147823356</v>
      </c>
      <c r="T420" s="164">
        <f t="shared" si="363"/>
        <v>26962.404147823356</v>
      </c>
      <c r="U420" s="164">
        <f t="shared" si="363"/>
        <v>26962.404147823356</v>
      </c>
      <c r="V420" s="164">
        <f t="shared" si="363"/>
        <v>26962.404147823356</v>
      </c>
      <c r="W420" s="164">
        <f t="shared" si="363"/>
        <v>26962.404147823356</v>
      </c>
      <c r="X420" s="164">
        <f t="shared" si="363"/>
        <v>26962.404147823356</v>
      </c>
      <c r="Y420" s="164">
        <f t="shared" ref="Y420:AM420" si="364">X420</f>
        <v>26962.404147823356</v>
      </c>
      <c r="Z420" s="164">
        <f t="shared" si="364"/>
        <v>26962.404147823356</v>
      </c>
      <c r="AA420" s="164">
        <f t="shared" si="364"/>
        <v>26962.404147823356</v>
      </c>
      <c r="AB420" s="164">
        <f t="shared" si="364"/>
        <v>26962.404147823356</v>
      </c>
      <c r="AC420" s="164">
        <f t="shared" si="364"/>
        <v>26962.404147823356</v>
      </c>
      <c r="AD420" s="164">
        <f t="shared" si="364"/>
        <v>26962.404147823356</v>
      </c>
      <c r="AE420" s="164">
        <f t="shared" si="364"/>
        <v>26962.404147823356</v>
      </c>
      <c r="AF420" s="164">
        <f t="shared" si="364"/>
        <v>26962.404147823356</v>
      </c>
      <c r="AG420" s="164">
        <f t="shared" si="364"/>
        <v>26962.404147823356</v>
      </c>
      <c r="AH420" s="164">
        <f t="shared" si="364"/>
        <v>26962.404147823356</v>
      </c>
      <c r="AI420" s="164">
        <f t="shared" si="364"/>
        <v>26962.404147823356</v>
      </c>
      <c r="AJ420" s="164">
        <f t="shared" si="364"/>
        <v>26962.404147823356</v>
      </c>
      <c r="AK420" s="164">
        <f t="shared" si="364"/>
        <v>26962.404147823356</v>
      </c>
      <c r="AL420" s="164">
        <f t="shared" si="364"/>
        <v>26962.404147823356</v>
      </c>
      <c r="AM420" s="164">
        <f t="shared" si="364"/>
        <v>26962.404147823356</v>
      </c>
    </row>
    <row r="421" spans="1:39" outlineLevel="1">
      <c r="A421" s="100"/>
      <c r="B421" s="100"/>
      <c r="C421" s="100"/>
      <c r="D421" s="179" t="str">
        <f t="shared" si="360"/>
        <v>Computers &amp; Furniture</v>
      </c>
      <c r="E421" s="165" t="str">
        <f>H779</f>
        <v>Terminal Domestic - Turbo Prop</v>
      </c>
      <c r="F421" s="165"/>
      <c r="G421" s="165" t="s">
        <v>79</v>
      </c>
      <c r="H421" s="121"/>
      <c r="I421" s="165"/>
      <c r="J421" s="165"/>
      <c r="K421" s="303"/>
      <c r="L421" s="303"/>
      <c r="M421" s="202"/>
      <c r="N421" s="203"/>
      <c r="O421" s="197">
        <f t="shared" ref="O421:X421" si="365">N423</f>
        <v>0</v>
      </c>
      <c r="P421" s="164">
        <f t="shared" si="365"/>
        <v>5392.4808295646708</v>
      </c>
      <c r="Q421" s="164">
        <f t="shared" si="365"/>
        <v>10784.961659129342</v>
      </c>
      <c r="R421" s="164">
        <f t="shared" si="365"/>
        <v>16177.442488694012</v>
      </c>
      <c r="S421" s="164">
        <f t="shared" si="365"/>
        <v>21569.923318258683</v>
      </c>
      <c r="T421" s="164">
        <f t="shared" si="365"/>
        <v>26962.404147823356</v>
      </c>
      <c r="U421" s="164">
        <f t="shared" si="365"/>
        <v>26962.404147823356</v>
      </c>
      <c r="V421" s="164">
        <f t="shared" si="365"/>
        <v>26962.404147823356</v>
      </c>
      <c r="W421" s="164">
        <f t="shared" si="365"/>
        <v>26962.404147823356</v>
      </c>
      <c r="X421" s="164">
        <f t="shared" si="365"/>
        <v>26962.404147823356</v>
      </c>
      <c r="Y421" s="164">
        <f t="shared" ref="Y421:AM421" si="366">X423</f>
        <v>26962.404147823356</v>
      </c>
      <c r="Z421" s="164">
        <f t="shared" si="366"/>
        <v>26962.404147823356</v>
      </c>
      <c r="AA421" s="164">
        <f t="shared" si="366"/>
        <v>26962.404147823356</v>
      </c>
      <c r="AB421" s="164">
        <f t="shared" si="366"/>
        <v>26962.404147823356</v>
      </c>
      <c r="AC421" s="164">
        <f t="shared" si="366"/>
        <v>26962.404147823356</v>
      </c>
      <c r="AD421" s="164">
        <f t="shared" si="366"/>
        <v>26962.404147823356</v>
      </c>
      <c r="AE421" s="164">
        <f t="shared" si="366"/>
        <v>26962.404147823356</v>
      </c>
      <c r="AF421" s="164">
        <f t="shared" si="366"/>
        <v>26962.404147823356</v>
      </c>
      <c r="AG421" s="164">
        <f t="shared" si="366"/>
        <v>26962.404147823356</v>
      </c>
      <c r="AH421" s="164">
        <f t="shared" si="366"/>
        <v>26962.404147823356</v>
      </c>
      <c r="AI421" s="164">
        <f t="shared" si="366"/>
        <v>26962.404147823356</v>
      </c>
      <c r="AJ421" s="164">
        <f t="shared" si="366"/>
        <v>26962.404147823356</v>
      </c>
      <c r="AK421" s="164">
        <f t="shared" si="366"/>
        <v>26962.404147823356</v>
      </c>
      <c r="AL421" s="164">
        <f t="shared" si="366"/>
        <v>26962.404147823356</v>
      </c>
      <c r="AM421" s="164">
        <f t="shared" si="366"/>
        <v>26962.404147823356</v>
      </c>
    </row>
    <row r="422" spans="1:39" outlineLevel="1">
      <c r="A422" s="100"/>
      <c r="B422" s="100"/>
      <c r="C422" s="100"/>
      <c r="D422" s="179" t="str">
        <f t="shared" si="360"/>
        <v>Computers &amp; Furniture</v>
      </c>
      <c r="E422" s="165" t="str">
        <f>H779</f>
        <v>Terminal Domestic - Turbo Prop</v>
      </c>
      <c r="F422" s="165"/>
      <c r="G422" s="165" t="s">
        <v>78</v>
      </c>
      <c r="H422" s="121"/>
      <c r="I422" s="165"/>
      <c r="J422" s="165"/>
      <c r="K422" s="303"/>
      <c r="L422" s="303"/>
      <c r="M422" s="202"/>
      <c r="N422" s="203"/>
      <c r="O422" s="197">
        <f>IFERROR(MIN(O419,O420/'Asset base'!O$99),0)</f>
        <v>5392.4808295646708</v>
      </c>
      <c r="P422" s="164">
        <f>IFERROR(MIN(P419,P420/'Asset base'!P$99),0)</f>
        <v>5392.4808295646708</v>
      </c>
      <c r="Q422" s="164">
        <f>IFERROR(MIN(Q419,Q420/'Asset base'!Q$99),0)</f>
        <v>5392.4808295646708</v>
      </c>
      <c r="R422" s="164">
        <f>IFERROR(MIN(R419,R420/'Asset base'!R$99),0)</f>
        <v>5392.4808295646708</v>
      </c>
      <c r="S422" s="164">
        <f>IFERROR(MIN(S419,S420/'Asset base'!S$99),0)</f>
        <v>5392.4808295646708</v>
      </c>
      <c r="T422" s="164">
        <f>IFERROR(MIN(T419,T420/'Asset base'!T$99),0)</f>
        <v>0</v>
      </c>
      <c r="U422" s="164">
        <f>IFERROR(MIN(U419,U420/'Asset base'!U$99),0)</f>
        <v>0</v>
      </c>
      <c r="V422" s="164">
        <f>IFERROR(MIN(V419,V420/'Asset base'!V$99),0)</f>
        <v>0</v>
      </c>
      <c r="W422" s="164">
        <f>IFERROR(MIN(W419,W420/'Asset base'!W$99),0)</f>
        <v>0</v>
      </c>
      <c r="X422" s="164">
        <f>IFERROR(MIN(X419,X420/'Asset base'!X$99),0)</f>
        <v>0</v>
      </c>
      <c r="Y422" s="164">
        <f>IFERROR(MIN(Y419,Y420/'Asset base'!Y$99),0)</f>
        <v>0</v>
      </c>
      <c r="Z422" s="164">
        <f>IFERROR(MIN(Z419,Z420/'Asset base'!Z$99),0)</f>
        <v>0</v>
      </c>
      <c r="AA422" s="164">
        <f>IFERROR(MIN(AA419,AA420/'Asset base'!AA$99),0)</f>
        <v>0</v>
      </c>
      <c r="AB422" s="164">
        <f>IFERROR(MIN(AB419,AB420/'Asset base'!AB$99),0)</f>
        <v>0</v>
      </c>
      <c r="AC422" s="164">
        <f>IFERROR(MIN(AC419,AC420/'Asset base'!AC$99),0)</f>
        <v>0</v>
      </c>
      <c r="AD422" s="164">
        <f>IFERROR(MIN(AD419,AD420/'Asset base'!AD$99),0)</f>
        <v>0</v>
      </c>
      <c r="AE422" s="164">
        <f>IFERROR(MIN(AE419,AE420/'Asset base'!AE$99),0)</f>
        <v>0</v>
      </c>
      <c r="AF422" s="164">
        <f>IFERROR(MIN(AF419,AF420/'Asset base'!AF$99),0)</f>
        <v>0</v>
      </c>
      <c r="AG422" s="164">
        <f>IFERROR(MIN(AG419,AG420/'Asset base'!AG$99),0)</f>
        <v>0</v>
      </c>
      <c r="AH422" s="164">
        <f>IFERROR(MIN(AH419,AH420/'Asset base'!AH$99),0)</f>
        <v>0</v>
      </c>
      <c r="AI422" s="164">
        <f>IFERROR(MIN(AI419,AI420/'Asset base'!AI$99),0)</f>
        <v>0</v>
      </c>
      <c r="AJ422" s="164">
        <f>IFERROR(MIN(AJ419,AJ420/'Asset base'!AJ$99),0)</f>
        <v>0</v>
      </c>
      <c r="AK422" s="164">
        <f>IFERROR(MIN(AK419,AK420/'Asset base'!AK$99),0)</f>
        <v>0</v>
      </c>
      <c r="AL422" s="164">
        <f>IFERROR(MIN(AL419,AL420/'Asset base'!AL$99),0)</f>
        <v>0</v>
      </c>
      <c r="AM422" s="164">
        <f>IFERROR(MIN(AM419,AM420/'Asset base'!AM$99),0)</f>
        <v>0</v>
      </c>
    </row>
    <row r="423" spans="1:39" outlineLevel="1">
      <c r="A423" s="100"/>
      <c r="B423" s="100"/>
      <c r="C423" s="100"/>
      <c r="D423" s="179" t="str">
        <f t="shared" si="360"/>
        <v>Computers &amp; Furniture</v>
      </c>
      <c r="E423" s="165" t="str">
        <f>H779</f>
        <v>Terminal Domestic - Turbo Prop</v>
      </c>
      <c r="F423" s="165"/>
      <c r="G423" s="165" t="s">
        <v>77</v>
      </c>
      <c r="H423" s="121"/>
      <c r="I423" s="165"/>
      <c r="J423" s="165"/>
      <c r="K423" s="305"/>
      <c r="L423" s="305"/>
      <c r="M423" s="306"/>
      <c r="N423" s="203"/>
      <c r="O423" s="197">
        <f t="shared" ref="O423:X423" si="367">SUM(O421:O422)</f>
        <v>5392.4808295646708</v>
      </c>
      <c r="P423" s="164">
        <f t="shared" si="367"/>
        <v>10784.961659129342</v>
      </c>
      <c r="Q423" s="164">
        <f t="shared" si="367"/>
        <v>16177.442488694012</v>
      </c>
      <c r="R423" s="164">
        <f t="shared" si="367"/>
        <v>21569.923318258683</v>
      </c>
      <c r="S423" s="164">
        <f t="shared" si="367"/>
        <v>26962.404147823356</v>
      </c>
      <c r="T423" s="164">
        <f t="shared" si="367"/>
        <v>26962.404147823356</v>
      </c>
      <c r="U423" s="164">
        <f t="shared" si="367"/>
        <v>26962.404147823356</v>
      </c>
      <c r="V423" s="164">
        <f t="shared" si="367"/>
        <v>26962.404147823356</v>
      </c>
      <c r="W423" s="164">
        <f t="shared" si="367"/>
        <v>26962.404147823356</v>
      </c>
      <c r="X423" s="164">
        <f t="shared" si="367"/>
        <v>26962.404147823356</v>
      </c>
      <c r="Y423" s="164">
        <f>SUM(Y421:Y422)</f>
        <v>26962.404147823356</v>
      </c>
      <c r="Z423" s="164">
        <f t="shared" ref="Z423:AM423" si="368">SUM(Z421:Z422)</f>
        <v>26962.404147823356</v>
      </c>
      <c r="AA423" s="164">
        <f t="shared" si="368"/>
        <v>26962.404147823356</v>
      </c>
      <c r="AB423" s="164">
        <f t="shared" si="368"/>
        <v>26962.404147823356</v>
      </c>
      <c r="AC423" s="164">
        <f t="shared" si="368"/>
        <v>26962.404147823356</v>
      </c>
      <c r="AD423" s="164">
        <f t="shared" si="368"/>
        <v>26962.404147823356</v>
      </c>
      <c r="AE423" s="164">
        <f t="shared" si="368"/>
        <v>26962.404147823356</v>
      </c>
      <c r="AF423" s="164">
        <f t="shared" si="368"/>
        <v>26962.404147823356</v>
      </c>
      <c r="AG423" s="164">
        <f t="shared" si="368"/>
        <v>26962.404147823356</v>
      </c>
      <c r="AH423" s="164">
        <f t="shared" si="368"/>
        <v>26962.404147823356</v>
      </c>
      <c r="AI423" s="164">
        <f t="shared" si="368"/>
        <v>26962.404147823356</v>
      </c>
      <c r="AJ423" s="164">
        <f t="shared" si="368"/>
        <v>26962.404147823356</v>
      </c>
      <c r="AK423" s="164">
        <f t="shared" si="368"/>
        <v>26962.404147823356</v>
      </c>
      <c r="AL423" s="164">
        <f t="shared" si="368"/>
        <v>26962.404147823356</v>
      </c>
      <c r="AM423" s="164">
        <f t="shared" si="368"/>
        <v>26962.404147823356</v>
      </c>
    </row>
    <row r="424" spans="1:39" outlineLevel="1">
      <c r="A424" s="100"/>
      <c r="B424" s="100"/>
      <c r="C424" s="100"/>
      <c r="D424" s="179" t="str">
        <f t="shared" si="360"/>
        <v>Computers &amp; Furniture</v>
      </c>
      <c r="E424" s="165" t="str">
        <f>H779</f>
        <v>Terminal Domestic - Turbo Prop</v>
      </c>
      <c r="F424" s="165"/>
      <c r="G424" s="200" t="s">
        <v>76</v>
      </c>
      <c r="H424" s="201"/>
      <c r="I424" s="200"/>
      <c r="J424" s="200"/>
      <c r="K424" s="198">
        <f t="shared" ref="K424:S424" si="369">K420-K423</f>
        <v>0</v>
      </c>
      <c r="L424" s="198">
        <f t="shared" si="369"/>
        <v>0</v>
      </c>
      <c r="M424" s="227">
        <f>N419</f>
        <v>0</v>
      </c>
      <c r="N424" s="541">
        <f>'[7]2008-2012 Asset Mov''t Revised'!$AJ$77</f>
        <v>26962.404147823356</v>
      </c>
      <c r="O424" s="199">
        <f t="shared" si="369"/>
        <v>21569.923318258683</v>
      </c>
      <c r="P424" s="198">
        <f t="shared" si="369"/>
        <v>16177.442488694014</v>
      </c>
      <c r="Q424" s="198">
        <f t="shared" si="369"/>
        <v>10784.961659129343</v>
      </c>
      <c r="R424" s="198">
        <f t="shared" si="369"/>
        <v>5392.4808295646726</v>
      </c>
      <c r="S424" s="198">
        <f t="shared" si="369"/>
        <v>0</v>
      </c>
      <c r="T424" s="198">
        <f t="shared" ref="T424:AM424" si="370">T420-T423</f>
        <v>0</v>
      </c>
      <c r="U424" s="198">
        <f t="shared" si="370"/>
        <v>0</v>
      </c>
      <c r="V424" s="198">
        <f t="shared" si="370"/>
        <v>0</v>
      </c>
      <c r="W424" s="198">
        <f t="shared" si="370"/>
        <v>0</v>
      </c>
      <c r="X424" s="198">
        <f t="shared" si="370"/>
        <v>0</v>
      </c>
      <c r="Y424" s="198">
        <f t="shared" si="370"/>
        <v>0</v>
      </c>
      <c r="Z424" s="198">
        <f t="shared" si="370"/>
        <v>0</v>
      </c>
      <c r="AA424" s="198">
        <f t="shared" si="370"/>
        <v>0</v>
      </c>
      <c r="AB424" s="198">
        <f t="shared" si="370"/>
        <v>0</v>
      </c>
      <c r="AC424" s="198">
        <f t="shared" si="370"/>
        <v>0</v>
      </c>
      <c r="AD424" s="198">
        <f t="shared" si="370"/>
        <v>0</v>
      </c>
      <c r="AE424" s="198">
        <f t="shared" si="370"/>
        <v>0</v>
      </c>
      <c r="AF424" s="198">
        <f t="shared" si="370"/>
        <v>0</v>
      </c>
      <c r="AG424" s="198">
        <f t="shared" si="370"/>
        <v>0</v>
      </c>
      <c r="AH424" s="198">
        <f t="shared" si="370"/>
        <v>0</v>
      </c>
      <c r="AI424" s="198">
        <f t="shared" si="370"/>
        <v>0</v>
      </c>
      <c r="AJ424" s="198">
        <f t="shared" si="370"/>
        <v>0</v>
      </c>
      <c r="AK424" s="198">
        <f t="shared" si="370"/>
        <v>0</v>
      </c>
      <c r="AL424" s="198">
        <f t="shared" si="370"/>
        <v>0</v>
      </c>
      <c r="AM424" s="198">
        <f t="shared" si="370"/>
        <v>0</v>
      </c>
    </row>
    <row r="425" spans="1:39" outlineLevel="1">
      <c r="A425" s="100"/>
      <c r="B425" s="100"/>
      <c r="C425" s="100"/>
      <c r="D425" s="179"/>
      <c r="E425" s="165"/>
      <c r="F425" s="165"/>
      <c r="G425" s="205"/>
      <c r="H425" s="121"/>
      <c r="I425" s="165"/>
      <c r="J425" s="165"/>
      <c r="K425" s="207"/>
      <c r="L425" s="164"/>
      <c r="M425" s="227"/>
      <c r="N425" s="203"/>
      <c r="O425" s="197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  <c r="AA425" s="165"/>
      <c r="AB425" s="165"/>
      <c r="AC425" s="165"/>
      <c r="AD425" s="165"/>
      <c r="AE425" s="165"/>
      <c r="AF425" s="165"/>
      <c r="AG425" s="165"/>
      <c r="AH425" s="165"/>
      <c r="AI425" s="165"/>
      <c r="AJ425" s="165"/>
      <c r="AK425" s="165"/>
      <c r="AL425" s="165"/>
      <c r="AM425" s="165"/>
    </row>
    <row r="426" spans="1:39" outlineLevel="1">
      <c r="A426" s="100"/>
      <c r="B426" s="100"/>
      <c r="C426" s="100"/>
      <c r="D426" s="179"/>
      <c r="E426" s="165"/>
      <c r="F426" s="165"/>
      <c r="G426" s="206" t="str">
        <f>G808</f>
        <v>Motor vehicles</v>
      </c>
      <c r="H426" s="121"/>
      <c r="I426" s="165"/>
      <c r="J426" s="165"/>
      <c r="K426" s="207"/>
      <c r="L426" s="164"/>
      <c r="M426" s="227"/>
      <c r="N426" s="203"/>
      <c r="O426" s="197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  <c r="AA426" s="165"/>
      <c r="AB426" s="165"/>
      <c r="AC426" s="165"/>
      <c r="AD426" s="165"/>
      <c r="AE426" s="165"/>
      <c r="AF426" s="165"/>
      <c r="AG426" s="165"/>
      <c r="AH426" s="165"/>
      <c r="AI426" s="165"/>
      <c r="AJ426" s="165"/>
      <c r="AK426" s="165"/>
      <c r="AL426" s="165"/>
      <c r="AM426" s="165"/>
    </row>
    <row r="427" spans="1:39" outlineLevel="1">
      <c r="A427" s="100"/>
      <c r="B427" s="100"/>
      <c r="C427" s="100"/>
      <c r="D427" s="179"/>
      <c r="E427" s="165"/>
      <c r="F427" s="165"/>
      <c r="G427" s="205"/>
      <c r="H427" s="121"/>
      <c r="I427" s="165"/>
      <c r="J427" s="165"/>
      <c r="K427" s="207"/>
      <c r="L427" s="164"/>
      <c r="M427" s="227"/>
      <c r="N427" s="203"/>
      <c r="O427" s="197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  <c r="AA427" s="165"/>
      <c r="AB427" s="165"/>
      <c r="AC427" s="165"/>
      <c r="AD427" s="165"/>
      <c r="AE427" s="165"/>
      <c r="AF427" s="165"/>
      <c r="AG427" s="165"/>
      <c r="AH427" s="165"/>
      <c r="AI427" s="165"/>
      <c r="AJ427" s="165"/>
      <c r="AK427" s="165"/>
      <c r="AL427" s="165"/>
      <c r="AM427" s="165"/>
    </row>
    <row r="428" spans="1:39" outlineLevel="1">
      <c r="A428" s="100"/>
      <c r="B428" s="100"/>
      <c r="C428" s="100"/>
      <c r="D428" s="179" t="str">
        <f t="shared" ref="D428:D433" si="371">$G$527</f>
        <v>Motor vehicles</v>
      </c>
      <c r="E428" s="165" t="str">
        <f>H779</f>
        <v>Terminal Domestic - Turbo Prop</v>
      </c>
      <c r="F428" s="165"/>
      <c r="G428" s="165" t="s">
        <v>80</v>
      </c>
      <c r="H428" s="121"/>
      <c r="I428" s="165"/>
      <c r="J428" s="165"/>
      <c r="K428" s="164"/>
      <c r="L428" s="164"/>
      <c r="M428" s="227"/>
      <c r="N428" s="203">
        <f>[2]OUTPUT!N915</f>
        <v>0</v>
      </c>
      <c r="O428" s="197">
        <f t="shared" ref="O428:X428" si="372">N433</f>
        <v>0</v>
      </c>
      <c r="P428" s="164">
        <f t="shared" si="372"/>
        <v>0</v>
      </c>
      <c r="Q428" s="164">
        <f t="shared" si="372"/>
        <v>0</v>
      </c>
      <c r="R428" s="164">
        <f t="shared" si="372"/>
        <v>0</v>
      </c>
      <c r="S428" s="164">
        <f t="shared" si="372"/>
        <v>0</v>
      </c>
      <c r="T428" s="164">
        <f t="shared" si="372"/>
        <v>0</v>
      </c>
      <c r="U428" s="164">
        <f t="shared" si="372"/>
        <v>0</v>
      </c>
      <c r="V428" s="164">
        <f t="shared" si="372"/>
        <v>0</v>
      </c>
      <c r="W428" s="164">
        <f t="shared" si="372"/>
        <v>0</v>
      </c>
      <c r="X428" s="164">
        <f t="shared" si="372"/>
        <v>0</v>
      </c>
      <c r="Y428" s="164">
        <f t="shared" ref="Y428:AM428" si="373">X433</f>
        <v>0</v>
      </c>
      <c r="Z428" s="164">
        <f t="shared" si="373"/>
        <v>0</v>
      </c>
      <c r="AA428" s="164">
        <f t="shared" si="373"/>
        <v>0</v>
      </c>
      <c r="AB428" s="164">
        <f t="shared" si="373"/>
        <v>0</v>
      </c>
      <c r="AC428" s="164">
        <f t="shared" si="373"/>
        <v>0</v>
      </c>
      <c r="AD428" s="164">
        <f t="shared" si="373"/>
        <v>0</v>
      </c>
      <c r="AE428" s="164">
        <f t="shared" si="373"/>
        <v>0</v>
      </c>
      <c r="AF428" s="164">
        <f t="shared" si="373"/>
        <v>0</v>
      </c>
      <c r="AG428" s="164">
        <f t="shared" si="373"/>
        <v>0</v>
      </c>
      <c r="AH428" s="164">
        <f t="shared" si="373"/>
        <v>0</v>
      </c>
      <c r="AI428" s="164">
        <f t="shared" si="373"/>
        <v>0</v>
      </c>
      <c r="AJ428" s="164">
        <f t="shared" si="373"/>
        <v>0</v>
      </c>
      <c r="AK428" s="164">
        <f t="shared" si="373"/>
        <v>0</v>
      </c>
      <c r="AL428" s="164">
        <f t="shared" si="373"/>
        <v>0</v>
      </c>
      <c r="AM428" s="164">
        <f t="shared" si="373"/>
        <v>0</v>
      </c>
    </row>
    <row r="429" spans="1:39" outlineLevel="1">
      <c r="A429" s="100"/>
      <c r="B429" s="100"/>
      <c r="C429" s="100"/>
      <c r="D429" s="179" t="str">
        <f t="shared" si="371"/>
        <v>Motor vehicles</v>
      </c>
      <c r="E429" s="165" t="str">
        <f>H779</f>
        <v>Terminal Domestic - Turbo Prop</v>
      </c>
      <c r="F429" s="165"/>
      <c r="G429" s="165" t="s">
        <v>60</v>
      </c>
      <c r="H429" s="121"/>
      <c r="I429" s="165"/>
      <c r="J429" s="165"/>
      <c r="K429" s="303"/>
      <c r="L429" s="303"/>
      <c r="M429" s="304"/>
      <c r="N429" s="203">
        <f>[2]OUTPUT!N916</f>
        <v>0</v>
      </c>
      <c r="O429" s="197">
        <f>N433</f>
        <v>0</v>
      </c>
      <c r="P429" s="164">
        <f t="shared" ref="P429:X429" si="374">O429</f>
        <v>0</v>
      </c>
      <c r="Q429" s="164">
        <f t="shared" si="374"/>
        <v>0</v>
      </c>
      <c r="R429" s="164">
        <f t="shared" si="374"/>
        <v>0</v>
      </c>
      <c r="S429" s="164">
        <f t="shared" si="374"/>
        <v>0</v>
      </c>
      <c r="T429" s="164">
        <f t="shared" si="374"/>
        <v>0</v>
      </c>
      <c r="U429" s="164">
        <f t="shared" si="374"/>
        <v>0</v>
      </c>
      <c r="V429" s="164">
        <f t="shared" si="374"/>
        <v>0</v>
      </c>
      <c r="W429" s="164">
        <f t="shared" si="374"/>
        <v>0</v>
      </c>
      <c r="X429" s="164">
        <f t="shared" si="374"/>
        <v>0</v>
      </c>
      <c r="Y429" s="164">
        <f t="shared" ref="Y429:AM429" si="375">X429</f>
        <v>0</v>
      </c>
      <c r="Z429" s="164">
        <f t="shared" si="375"/>
        <v>0</v>
      </c>
      <c r="AA429" s="164">
        <f t="shared" si="375"/>
        <v>0</v>
      </c>
      <c r="AB429" s="164">
        <f t="shared" si="375"/>
        <v>0</v>
      </c>
      <c r="AC429" s="164">
        <f t="shared" si="375"/>
        <v>0</v>
      </c>
      <c r="AD429" s="164">
        <f t="shared" si="375"/>
        <v>0</v>
      </c>
      <c r="AE429" s="164">
        <f t="shared" si="375"/>
        <v>0</v>
      </c>
      <c r="AF429" s="164">
        <f t="shared" si="375"/>
        <v>0</v>
      </c>
      <c r="AG429" s="164">
        <f t="shared" si="375"/>
        <v>0</v>
      </c>
      <c r="AH429" s="164">
        <f t="shared" si="375"/>
        <v>0</v>
      </c>
      <c r="AI429" s="164">
        <f t="shared" si="375"/>
        <v>0</v>
      </c>
      <c r="AJ429" s="164">
        <f t="shared" si="375"/>
        <v>0</v>
      </c>
      <c r="AK429" s="164">
        <f t="shared" si="375"/>
        <v>0</v>
      </c>
      <c r="AL429" s="164">
        <f t="shared" si="375"/>
        <v>0</v>
      </c>
      <c r="AM429" s="164">
        <f t="shared" si="375"/>
        <v>0</v>
      </c>
    </row>
    <row r="430" spans="1:39" outlineLevel="1">
      <c r="A430" s="100"/>
      <c r="B430" s="100"/>
      <c r="C430" s="100"/>
      <c r="D430" s="179" t="str">
        <f t="shared" si="371"/>
        <v>Motor vehicles</v>
      </c>
      <c r="E430" s="165" t="str">
        <f>H779</f>
        <v>Terminal Domestic - Turbo Prop</v>
      </c>
      <c r="F430" s="165"/>
      <c r="G430" s="165" t="s">
        <v>79</v>
      </c>
      <c r="H430" s="121"/>
      <c r="I430" s="165"/>
      <c r="J430" s="165"/>
      <c r="K430" s="303"/>
      <c r="L430" s="303"/>
      <c r="M430" s="202"/>
      <c r="N430" s="203">
        <f>[2]OUTPUT!N917</f>
        <v>0</v>
      </c>
      <c r="O430" s="197">
        <f t="shared" ref="O430:X430" si="376">N432</f>
        <v>0</v>
      </c>
      <c r="P430" s="164">
        <f t="shared" si="376"/>
        <v>0</v>
      </c>
      <c r="Q430" s="164">
        <f t="shared" si="376"/>
        <v>0</v>
      </c>
      <c r="R430" s="164">
        <f t="shared" si="376"/>
        <v>0</v>
      </c>
      <c r="S430" s="164">
        <f t="shared" si="376"/>
        <v>0</v>
      </c>
      <c r="T430" s="164">
        <f t="shared" si="376"/>
        <v>0</v>
      </c>
      <c r="U430" s="164">
        <f t="shared" si="376"/>
        <v>0</v>
      </c>
      <c r="V430" s="164">
        <f t="shared" si="376"/>
        <v>0</v>
      </c>
      <c r="W430" s="164">
        <f t="shared" si="376"/>
        <v>0</v>
      </c>
      <c r="X430" s="164">
        <f t="shared" si="376"/>
        <v>0</v>
      </c>
      <c r="Y430" s="164">
        <f t="shared" ref="Y430:AM430" si="377">X432</f>
        <v>0</v>
      </c>
      <c r="Z430" s="164">
        <f t="shared" si="377"/>
        <v>0</v>
      </c>
      <c r="AA430" s="164">
        <f t="shared" si="377"/>
        <v>0</v>
      </c>
      <c r="AB430" s="164">
        <f t="shared" si="377"/>
        <v>0</v>
      </c>
      <c r="AC430" s="164">
        <f t="shared" si="377"/>
        <v>0</v>
      </c>
      <c r="AD430" s="164">
        <f t="shared" si="377"/>
        <v>0</v>
      </c>
      <c r="AE430" s="164">
        <f t="shared" si="377"/>
        <v>0</v>
      </c>
      <c r="AF430" s="164">
        <f t="shared" si="377"/>
        <v>0</v>
      </c>
      <c r="AG430" s="164">
        <f t="shared" si="377"/>
        <v>0</v>
      </c>
      <c r="AH430" s="164">
        <f t="shared" si="377"/>
        <v>0</v>
      </c>
      <c r="AI430" s="164">
        <f t="shared" si="377"/>
        <v>0</v>
      </c>
      <c r="AJ430" s="164">
        <f t="shared" si="377"/>
        <v>0</v>
      </c>
      <c r="AK430" s="164">
        <f t="shared" si="377"/>
        <v>0</v>
      </c>
      <c r="AL430" s="164">
        <f t="shared" si="377"/>
        <v>0</v>
      </c>
      <c r="AM430" s="164">
        <f t="shared" si="377"/>
        <v>0</v>
      </c>
    </row>
    <row r="431" spans="1:39" outlineLevel="1">
      <c r="A431" s="100"/>
      <c r="B431" s="100"/>
      <c r="C431" s="100"/>
      <c r="D431" s="179" t="str">
        <f t="shared" si="371"/>
        <v>Motor vehicles</v>
      </c>
      <c r="E431" s="165" t="str">
        <f>H779</f>
        <v>Terminal Domestic - Turbo Prop</v>
      </c>
      <c r="F431" s="165"/>
      <c r="G431" s="165" t="s">
        <v>78</v>
      </c>
      <c r="H431" s="121"/>
      <c r="I431" s="165"/>
      <c r="J431" s="165"/>
      <c r="K431" s="303"/>
      <c r="L431" s="303"/>
      <c r="M431" s="202"/>
      <c r="N431" s="203">
        <f>[2]OUTPUT!N918</f>
        <v>0</v>
      </c>
      <c r="O431" s="197">
        <f>IFERROR(MIN(O428,O429/'Asset base'!O$100),0)</f>
        <v>0</v>
      </c>
      <c r="P431" s="164">
        <f>IFERROR(MIN(P428,P429/'Asset base'!P$100),0)</f>
        <v>0</v>
      </c>
      <c r="Q431" s="164">
        <f>IFERROR(MIN(Q428,Q429/'Asset base'!Q$100),0)</f>
        <v>0</v>
      </c>
      <c r="R431" s="164">
        <f>IFERROR(MIN(R428,R429/'Asset base'!R$100),0)</f>
        <v>0</v>
      </c>
      <c r="S431" s="164">
        <f>IFERROR(MIN(S428,S429/'Asset base'!S$100),0)</f>
        <v>0</v>
      </c>
      <c r="T431" s="164">
        <f>IFERROR(MIN(T428,T429/'Asset base'!T$100),0)</f>
        <v>0</v>
      </c>
      <c r="U431" s="164">
        <f>IFERROR(MIN(U428,U429/'Asset base'!U$100),0)</f>
        <v>0</v>
      </c>
      <c r="V431" s="164">
        <f>IFERROR(MIN(V428,V429/'Asset base'!V$100),0)</f>
        <v>0</v>
      </c>
      <c r="W431" s="164">
        <f>IFERROR(MIN(W428,W429/'Asset base'!W$100),0)</f>
        <v>0</v>
      </c>
      <c r="X431" s="164">
        <f>IFERROR(MIN(X428,X429/'Asset base'!X$100),0)</f>
        <v>0</v>
      </c>
      <c r="Y431" s="164">
        <f>IFERROR(MIN(Y428,Y429/'Asset base'!Y$100),0)</f>
        <v>0</v>
      </c>
      <c r="Z431" s="164">
        <f>IFERROR(MIN(Z428,Z429/'Asset base'!Z$100),0)</f>
        <v>0</v>
      </c>
      <c r="AA431" s="164">
        <f>IFERROR(MIN(AA428,AA429/'Asset base'!AA$100),0)</f>
        <v>0</v>
      </c>
      <c r="AB431" s="164">
        <f>IFERROR(MIN(AB428,AB429/'Asset base'!AB$100),0)</f>
        <v>0</v>
      </c>
      <c r="AC431" s="164">
        <f>IFERROR(MIN(AC428,AC429/'Asset base'!AC$100),0)</f>
        <v>0</v>
      </c>
      <c r="AD431" s="164">
        <f>IFERROR(MIN(AD428,AD429/'Asset base'!AD$100),0)</f>
        <v>0</v>
      </c>
      <c r="AE431" s="164">
        <f>IFERROR(MIN(AE428,AE429/'Asset base'!AE$100),0)</f>
        <v>0</v>
      </c>
      <c r="AF431" s="164">
        <f>IFERROR(MIN(AF428,AF429/'Asset base'!AF$100),0)</f>
        <v>0</v>
      </c>
      <c r="AG431" s="164">
        <f>IFERROR(MIN(AG428,AG429/'Asset base'!AG$100),0)</f>
        <v>0</v>
      </c>
      <c r="AH431" s="164">
        <f>IFERROR(MIN(AH428,AH429/'Asset base'!AH$100),0)</f>
        <v>0</v>
      </c>
      <c r="AI431" s="164">
        <f>IFERROR(MIN(AI428,AI429/'Asset base'!AI$100),0)</f>
        <v>0</v>
      </c>
      <c r="AJ431" s="164">
        <f>IFERROR(MIN(AJ428,AJ429/'Asset base'!AJ$100),0)</f>
        <v>0</v>
      </c>
      <c r="AK431" s="164">
        <f>IFERROR(MIN(AK428,AK429/'Asset base'!AK$100),0)</f>
        <v>0</v>
      </c>
      <c r="AL431" s="164">
        <f>IFERROR(MIN(AL428,AL429/'Asset base'!AL$100),0)</f>
        <v>0</v>
      </c>
      <c r="AM431" s="164">
        <f>IFERROR(MIN(AM428,AM429/'Asset base'!AM$100),0)</f>
        <v>0</v>
      </c>
    </row>
    <row r="432" spans="1:39" outlineLevel="1">
      <c r="A432" s="100"/>
      <c r="B432" s="100"/>
      <c r="C432" s="100"/>
      <c r="D432" s="179" t="str">
        <f t="shared" si="371"/>
        <v>Motor vehicles</v>
      </c>
      <c r="E432" s="165" t="str">
        <f>H779</f>
        <v>Terminal Domestic - Turbo Prop</v>
      </c>
      <c r="F432" s="165"/>
      <c r="G432" s="165" t="s">
        <v>77</v>
      </c>
      <c r="H432" s="121"/>
      <c r="I432" s="165"/>
      <c r="J432" s="165"/>
      <c r="K432" s="305"/>
      <c r="L432" s="305"/>
      <c r="M432" s="306"/>
      <c r="N432" s="203">
        <f>[2]OUTPUT!N919</f>
        <v>0</v>
      </c>
      <c r="O432" s="197">
        <f t="shared" ref="O432:X432" si="378">SUM(O430:O431)</f>
        <v>0</v>
      </c>
      <c r="P432" s="164">
        <f t="shared" si="378"/>
        <v>0</v>
      </c>
      <c r="Q432" s="164">
        <f t="shared" si="378"/>
        <v>0</v>
      </c>
      <c r="R432" s="164">
        <f t="shared" si="378"/>
        <v>0</v>
      </c>
      <c r="S432" s="164">
        <f t="shared" si="378"/>
        <v>0</v>
      </c>
      <c r="T432" s="164">
        <f t="shared" si="378"/>
        <v>0</v>
      </c>
      <c r="U432" s="164">
        <f t="shared" si="378"/>
        <v>0</v>
      </c>
      <c r="V432" s="164">
        <f t="shared" si="378"/>
        <v>0</v>
      </c>
      <c r="W432" s="164">
        <f t="shared" si="378"/>
        <v>0</v>
      </c>
      <c r="X432" s="164">
        <f t="shared" si="378"/>
        <v>0</v>
      </c>
      <c r="Y432" s="164">
        <f>SUM(Y430:Y431)</f>
        <v>0</v>
      </c>
      <c r="Z432" s="164">
        <f t="shared" ref="Z432:AM432" si="379">SUM(Z430:Z431)</f>
        <v>0</v>
      </c>
      <c r="AA432" s="164">
        <f t="shared" si="379"/>
        <v>0</v>
      </c>
      <c r="AB432" s="164">
        <f t="shared" si="379"/>
        <v>0</v>
      </c>
      <c r="AC432" s="164">
        <f t="shared" si="379"/>
        <v>0</v>
      </c>
      <c r="AD432" s="164">
        <f t="shared" si="379"/>
        <v>0</v>
      </c>
      <c r="AE432" s="164">
        <f t="shared" si="379"/>
        <v>0</v>
      </c>
      <c r="AF432" s="164">
        <f t="shared" si="379"/>
        <v>0</v>
      </c>
      <c r="AG432" s="164">
        <f t="shared" si="379"/>
        <v>0</v>
      </c>
      <c r="AH432" s="164">
        <f t="shared" si="379"/>
        <v>0</v>
      </c>
      <c r="AI432" s="164">
        <f t="shared" si="379"/>
        <v>0</v>
      </c>
      <c r="AJ432" s="164">
        <f t="shared" si="379"/>
        <v>0</v>
      </c>
      <c r="AK432" s="164">
        <f t="shared" si="379"/>
        <v>0</v>
      </c>
      <c r="AL432" s="164">
        <f t="shared" si="379"/>
        <v>0</v>
      </c>
      <c r="AM432" s="164">
        <f t="shared" si="379"/>
        <v>0</v>
      </c>
    </row>
    <row r="433" spans="1:39" outlineLevel="1">
      <c r="A433" s="100"/>
      <c r="B433" s="100"/>
      <c r="C433" s="100"/>
      <c r="D433" s="179" t="str">
        <f t="shared" si="371"/>
        <v>Motor vehicles</v>
      </c>
      <c r="E433" s="165" t="str">
        <f>H779</f>
        <v>Terminal Domestic - Turbo Prop</v>
      </c>
      <c r="F433" s="165"/>
      <c r="G433" s="200" t="s">
        <v>76</v>
      </c>
      <c r="H433" s="201"/>
      <c r="I433" s="200"/>
      <c r="J433" s="200"/>
      <c r="K433" s="198">
        <f t="shared" ref="K433:S433" si="380">K429-K432</f>
        <v>0</v>
      </c>
      <c r="L433" s="198">
        <f t="shared" si="380"/>
        <v>0</v>
      </c>
      <c r="M433" s="227">
        <f>N428</f>
        <v>0</v>
      </c>
      <c r="N433" s="541">
        <f>'[7]2008-2012 Asset Mov''t Revised'!$AJ$78</f>
        <v>0</v>
      </c>
      <c r="O433" s="199">
        <f t="shared" si="380"/>
        <v>0</v>
      </c>
      <c r="P433" s="198">
        <f t="shared" si="380"/>
        <v>0</v>
      </c>
      <c r="Q433" s="198">
        <f t="shared" si="380"/>
        <v>0</v>
      </c>
      <c r="R433" s="198">
        <f t="shared" si="380"/>
        <v>0</v>
      </c>
      <c r="S433" s="198">
        <f t="shared" si="380"/>
        <v>0</v>
      </c>
      <c r="T433" s="198">
        <f t="shared" ref="T433:AM433" si="381">T429-T432</f>
        <v>0</v>
      </c>
      <c r="U433" s="198">
        <f t="shared" si="381"/>
        <v>0</v>
      </c>
      <c r="V433" s="198">
        <f t="shared" si="381"/>
        <v>0</v>
      </c>
      <c r="W433" s="198">
        <f t="shared" si="381"/>
        <v>0</v>
      </c>
      <c r="X433" s="198">
        <f t="shared" si="381"/>
        <v>0</v>
      </c>
      <c r="Y433" s="198">
        <f t="shared" si="381"/>
        <v>0</v>
      </c>
      <c r="Z433" s="198">
        <f t="shared" si="381"/>
        <v>0</v>
      </c>
      <c r="AA433" s="198">
        <f t="shared" si="381"/>
        <v>0</v>
      </c>
      <c r="AB433" s="198">
        <f t="shared" si="381"/>
        <v>0</v>
      </c>
      <c r="AC433" s="198">
        <f t="shared" si="381"/>
        <v>0</v>
      </c>
      <c r="AD433" s="198">
        <f t="shared" si="381"/>
        <v>0</v>
      </c>
      <c r="AE433" s="198">
        <f t="shared" si="381"/>
        <v>0</v>
      </c>
      <c r="AF433" s="198">
        <f t="shared" si="381"/>
        <v>0</v>
      </c>
      <c r="AG433" s="198">
        <f t="shared" si="381"/>
        <v>0</v>
      </c>
      <c r="AH433" s="198">
        <f t="shared" si="381"/>
        <v>0</v>
      </c>
      <c r="AI433" s="198">
        <f t="shared" si="381"/>
        <v>0</v>
      </c>
      <c r="AJ433" s="198">
        <f t="shared" si="381"/>
        <v>0</v>
      </c>
      <c r="AK433" s="198">
        <f t="shared" si="381"/>
        <v>0</v>
      </c>
      <c r="AL433" s="198">
        <f t="shared" si="381"/>
        <v>0</v>
      </c>
      <c r="AM433" s="198">
        <f t="shared" si="381"/>
        <v>0</v>
      </c>
    </row>
    <row r="434" spans="1:39" outlineLevel="1">
      <c r="A434" s="100"/>
      <c r="B434" s="100"/>
      <c r="C434" s="100"/>
      <c r="D434" s="179"/>
      <c r="E434" s="165"/>
      <c r="F434" s="165"/>
      <c r="G434" s="205"/>
      <c r="H434" s="121"/>
      <c r="I434" s="165"/>
      <c r="J434" s="165"/>
      <c r="K434" s="207"/>
      <c r="L434" s="164"/>
      <c r="M434" s="227"/>
      <c r="N434" s="203"/>
      <c r="O434" s="197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  <c r="AF434" s="165"/>
      <c r="AG434" s="165"/>
      <c r="AH434" s="165"/>
      <c r="AI434" s="165"/>
      <c r="AJ434" s="165"/>
      <c r="AK434" s="165"/>
      <c r="AL434" s="165"/>
      <c r="AM434" s="165"/>
    </row>
    <row r="435" spans="1:39" outlineLevel="1">
      <c r="A435" s="100"/>
      <c r="B435" s="100"/>
      <c r="C435" s="100"/>
      <c r="D435" s="179"/>
      <c r="E435" s="165"/>
      <c r="F435" s="165"/>
      <c r="G435" s="206" t="str">
        <f>G817</f>
        <v>Plant &amp; equipment</v>
      </c>
      <c r="H435" s="121"/>
      <c r="I435" s="165"/>
      <c r="J435" s="165"/>
      <c r="K435" s="207"/>
      <c r="L435" s="164"/>
      <c r="M435" s="227"/>
      <c r="N435" s="203"/>
      <c r="O435" s="197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  <c r="AA435" s="165"/>
      <c r="AB435" s="165"/>
      <c r="AC435" s="165"/>
      <c r="AD435" s="165"/>
      <c r="AE435" s="165"/>
      <c r="AF435" s="165"/>
      <c r="AG435" s="165"/>
      <c r="AH435" s="165"/>
      <c r="AI435" s="165"/>
      <c r="AJ435" s="165"/>
      <c r="AK435" s="165"/>
      <c r="AL435" s="165"/>
      <c r="AM435" s="165"/>
    </row>
    <row r="436" spans="1:39" outlineLevel="1">
      <c r="A436" s="100"/>
      <c r="B436" s="100"/>
      <c r="C436" s="100"/>
      <c r="D436" s="179"/>
      <c r="E436" s="165"/>
      <c r="F436" s="165"/>
      <c r="G436" s="205"/>
      <c r="H436" s="121"/>
      <c r="I436" s="165"/>
      <c r="J436" s="165"/>
      <c r="K436" s="207"/>
      <c r="L436" s="164"/>
      <c r="M436" s="227"/>
      <c r="N436" s="203"/>
      <c r="O436" s="197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  <c r="AA436" s="165"/>
      <c r="AB436" s="165"/>
      <c r="AC436" s="165"/>
      <c r="AD436" s="165"/>
      <c r="AE436" s="165"/>
      <c r="AF436" s="165"/>
      <c r="AG436" s="165"/>
      <c r="AH436" s="165"/>
      <c r="AI436" s="165"/>
      <c r="AJ436" s="165"/>
      <c r="AK436" s="165"/>
      <c r="AL436" s="165"/>
      <c r="AM436" s="165"/>
    </row>
    <row r="437" spans="1:39" outlineLevel="1">
      <c r="A437" s="100"/>
      <c r="B437" s="100"/>
      <c r="C437" s="100"/>
      <c r="D437" s="179" t="s">
        <v>34</v>
      </c>
      <c r="E437" s="165" t="str">
        <f>H779</f>
        <v>Terminal Domestic - Turbo Prop</v>
      </c>
      <c r="F437" s="165"/>
      <c r="G437" s="165" t="s">
        <v>80</v>
      </c>
      <c r="H437" s="121"/>
      <c r="I437" s="165"/>
      <c r="J437" s="165"/>
      <c r="K437" s="164"/>
      <c r="L437" s="164"/>
      <c r="M437" s="227"/>
      <c r="N437" s="203">
        <f>[2]OUTPUT!N924</f>
        <v>0</v>
      </c>
      <c r="O437" s="197">
        <f t="shared" ref="O437:X437" si="382">N442</f>
        <v>41333.054821975391</v>
      </c>
      <c r="P437" s="164">
        <f t="shared" si="382"/>
        <v>37199.749339777853</v>
      </c>
      <c r="Q437" s="164">
        <f t="shared" si="382"/>
        <v>33066.443857580314</v>
      </c>
      <c r="R437" s="164">
        <f t="shared" si="382"/>
        <v>28933.138375382772</v>
      </c>
      <c r="S437" s="164">
        <f t="shared" si="382"/>
        <v>24799.832893185234</v>
      </c>
      <c r="T437" s="164">
        <f t="shared" si="382"/>
        <v>20666.527410987695</v>
      </c>
      <c r="U437" s="164">
        <f t="shared" si="382"/>
        <v>16533.221928790157</v>
      </c>
      <c r="V437" s="164">
        <f t="shared" si="382"/>
        <v>12399.916446592619</v>
      </c>
      <c r="W437" s="164">
        <f t="shared" si="382"/>
        <v>8266.6109643950767</v>
      </c>
      <c r="X437" s="164">
        <f t="shared" si="382"/>
        <v>4133.3054821975384</v>
      </c>
      <c r="Y437" s="164">
        <f t="shared" ref="Y437:AM437" si="383">X442</f>
        <v>0</v>
      </c>
      <c r="Z437" s="164">
        <f t="shared" si="383"/>
        <v>0</v>
      </c>
      <c r="AA437" s="164">
        <f t="shared" si="383"/>
        <v>0</v>
      </c>
      <c r="AB437" s="164">
        <f t="shared" si="383"/>
        <v>0</v>
      </c>
      <c r="AC437" s="164">
        <f t="shared" si="383"/>
        <v>0</v>
      </c>
      <c r="AD437" s="164">
        <f t="shared" si="383"/>
        <v>0</v>
      </c>
      <c r="AE437" s="164">
        <f t="shared" si="383"/>
        <v>0</v>
      </c>
      <c r="AF437" s="164">
        <f t="shared" si="383"/>
        <v>0</v>
      </c>
      <c r="AG437" s="164">
        <f t="shared" si="383"/>
        <v>0</v>
      </c>
      <c r="AH437" s="164">
        <f t="shared" si="383"/>
        <v>0</v>
      </c>
      <c r="AI437" s="164">
        <f t="shared" si="383"/>
        <v>0</v>
      </c>
      <c r="AJ437" s="164">
        <f t="shared" si="383"/>
        <v>0</v>
      </c>
      <c r="AK437" s="164">
        <f t="shared" si="383"/>
        <v>0</v>
      </c>
      <c r="AL437" s="164">
        <f t="shared" si="383"/>
        <v>0</v>
      </c>
      <c r="AM437" s="164">
        <f t="shared" si="383"/>
        <v>0</v>
      </c>
    </row>
    <row r="438" spans="1:39" outlineLevel="1">
      <c r="A438" s="100"/>
      <c r="B438" s="100"/>
      <c r="C438" s="100"/>
      <c r="D438" s="179" t="s">
        <v>34</v>
      </c>
      <c r="E438" s="165" t="str">
        <f>H779</f>
        <v>Terminal Domestic - Turbo Prop</v>
      </c>
      <c r="F438" s="165"/>
      <c r="G438" s="165" t="s">
        <v>60</v>
      </c>
      <c r="H438" s="121"/>
      <c r="I438" s="165"/>
      <c r="J438" s="165"/>
      <c r="K438" s="303"/>
      <c r="L438" s="303"/>
      <c r="M438" s="304"/>
      <c r="N438" s="203">
        <f>[2]OUTPUT!N925</f>
        <v>0</v>
      </c>
      <c r="O438" s="197">
        <f>N442</f>
        <v>41333.054821975391</v>
      </c>
      <c r="P438" s="164">
        <f t="shared" ref="P438:X438" si="384">O438</f>
        <v>41333.054821975391</v>
      </c>
      <c r="Q438" s="164">
        <f t="shared" si="384"/>
        <v>41333.054821975391</v>
      </c>
      <c r="R438" s="164">
        <f t="shared" si="384"/>
        <v>41333.054821975391</v>
      </c>
      <c r="S438" s="164">
        <f t="shared" si="384"/>
        <v>41333.054821975391</v>
      </c>
      <c r="T438" s="164">
        <f t="shared" si="384"/>
        <v>41333.054821975391</v>
      </c>
      <c r="U438" s="164">
        <f t="shared" si="384"/>
        <v>41333.054821975391</v>
      </c>
      <c r="V438" s="164">
        <f t="shared" si="384"/>
        <v>41333.054821975391</v>
      </c>
      <c r="W438" s="164">
        <f t="shared" si="384"/>
        <v>41333.054821975391</v>
      </c>
      <c r="X438" s="164">
        <f t="shared" si="384"/>
        <v>41333.054821975391</v>
      </c>
      <c r="Y438" s="164">
        <f t="shared" ref="Y438:AM438" si="385">X438</f>
        <v>41333.054821975391</v>
      </c>
      <c r="Z438" s="164">
        <f t="shared" si="385"/>
        <v>41333.054821975391</v>
      </c>
      <c r="AA438" s="164">
        <f t="shared" si="385"/>
        <v>41333.054821975391</v>
      </c>
      <c r="AB438" s="164">
        <f t="shared" si="385"/>
        <v>41333.054821975391</v>
      </c>
      <c r="AC438" s="164">
        <f t="shared" si="385"/>
        <v>41333.054821975391</v>
      </c>
      <c r="AD438" s="164">
        <f t="shared" si="385"/>
        <v>41333.054821975391</v>
      </c>
      <c r="AE438" s="164">
        <f t="shared" si="385"/>
        <v>41333.054821975391</v>
      </c>
      <c r="AF438" s="164">
        <f t="shared" si="385"/>
        <v>41333.054821975391</v>
      </c>
      <c r="AG438" s="164">
        <f t="shared" si="385"/>
        <v>41333.054821975391</v>
      </c>
      <c r="AH438" s="164">
        <f t="shared" si="385"/>
        <v>41333.054821975391</v>
      </c>
      <c r="AI438" s="164">
        <f t="shared" si="385"/>
        <v>41333.054821975391</v>
      </c>
      <c r="AJ438" s="164">
        <f t="shared" si="385"/>
        <v>41333.054821975391</v>
      </c>
      <c r="AK438" s="164">
        <f t="shared" si="385"/>
        <v>41333.054821975391</v>
      </c>
      <c r="AL438" s="164">
        <f t="shared" si="385"/>
        <v>41333.054821975391</v>
      </c>
      <c r="AM438" s="164">
        <f t="shared" si="385"/>
        <v>41333.054821975391</v>
      </c>
    </row>
    <row r="439" spans="1:39" outlineLevel="1">
      <c r="A439" s="100"/>
      <c r="B439" s="100"/>
      <c r="C439" s="100"/>
      <c r="D439" s="179" t="s">
        <v>34</v>
      </c>
      <c r="E439" s="165" t="str">
        <f>H779</f>
        <v>Terminal Domestic - Turbo Prop</v>
      </c>
      <c r="F439" s="165"/>
      <c r="G439" s="165" t="s">
        <v>79</v>
      </c>
      <c r="H439" s="121"/>
      <c r="I439" s="165"/>
      <c r="J439" s="165"/>
      <c r="K439" s="303"/>
      <c r="L439" s="303"/>
      <c r="M439" s="202"/>
      <c r="N439" s="203">
        <f>[2]OUTPUT!N926</f>
        <v>0</v>
      </c>
      <c r="O439" s="197">
        <f t="shared" ref="O439:X439" si="386">N441</f>
        <v>0</v>
      </c>
      <c r="P439" s="164">
        <f t="shared" si="386"/>
        <v>4133.3054821975393</v>
      </c>
      <c r="Q439" s="164">
        <f t="shared" si="386"/>
        <v>8266.6109643950786</v>
      </c>
      <c r="R439" s="164">
        <f t="shared" si="386"/>
        <v>12399.916446592619</v>
      </c>
      <c r="S439" s="164">
        <f t="shared" si="386"/>
        <v>16533.221928790157</v>
      </c>
      <c r="T439" s="164">
        <f t="shared" si="386"/>
        <v>20666.527410987695</v>
      </c>
      <c r="U439" s="164">
        <f t="shared" si="386"/>
        <v>24799.832893185234</v>
      </c>
      <c r="V439" s="164">
        <f t="shared" si="386"/>
        <v>28933.138375382772</v>
      </c>
      <c r="W439" s="164">
        <f t="shared" si="386"/>
        <v>33066.443857580314</v>
      </c>
      <c r="X439" s="164">
        <f t="shared" si="386"/>
        <v>37199.749339777853</v>
      </c>
      <c r="Y439" s="164">
        <f t="shared" ref="Y439:AM439" si="387">X441</f>
        <v>41333.054821975391</v>
      </c>
      <c r="Z439" s="164">
        <f t="shared" si="387"/>
        <v>41333.054821975391</v>
      </c>
      <c r="AA439" s="164">
        <f t="shared" si="387"/>
        <v>41333.054821975391</v>
      </c>
      <c r="AB439" s="164">
        <f t="shared" si="387"/>
        <v>41333.054821975391</v>
      </c>
      <c r="AC439" s="164">
        <f t="shared" si="387"/>
        <v>41333.054821975391</v>
      </c>
      <c r="AD439" s="164">
        <f t="shared" si="387"/>
        <v>41333.054821975391</v>
      </c>
      <c r="AE439" s="164">
        <f t="shared" si="387"/>
        <v>41333.054821975391</v>
      </c>
      <c r="AF439" s="164">
        <f t="shared" si="387"/>
        <v>41333.054821975391</v>
      </c>
      <c r="AG439" s="164">
        <f t="shared" si="387"/>
        <v>41333.054821975391</v>
      </c>
      <c r="AH439" s="164">
        <f t="shared" si="387"/>
        <v>41333.054821975391</v>
      </c>
      <c r="AI439" s="164">
        <f t="shared" si="387"/>
        <v>41333.054821975391</v>
      </c>
      <c r="AJ439" s="164">
        <f t="shared" si="387"/>
        <v>41333.054821975391</v>
      </c>
      <c r="AK439" s="164">
        <f t="shared" si="387"/>
        <v>41333.054821975391</v>
      </c>
      <c r="AL439" s="164">
        <f t="shared" si="387"/>
        <v>41333.054821975391</v>
      </c>
      <c r="AM439" s="164">
        <f t="shared" si="387"/>
        <v>41333.054821975391</v>
      </c>
    </row>
    <row r="440" spans="1:39" outlineLevel="1">
      <c r="A440" s="100"/>
      <c r="B440" s="100"/>
      <c r="C440" s="100"/>
      <c r="D440" s="179" t="s">
        <v>34</v>
      </c>
      <c r="E440" s="165" t="str">
        <f>H779</f>
        <v>Terminal Domestic - Turbo Prop</v>
      </c>
      <c r="F440" s="165"/>
      <c r="G440" s="165" t="s">
        <v>78</v>
      </c>
      <c r="H440" s="121"/>
      <c r="I440" s="165"/>
      <c r="J440" s="165"/>
      <c r="K440" s="303"/>
      <c r="L440" s="303"/>
      <c r="M440" s="202"/>
      <c r="N440" s="203">
        <f>[2]OUTPUT!N927</f>
        <v>0</v>
      </c>
      <c r="O440" s="197">
        <f>IFERROR(MIN(O437,O438/'Asset base'!O$101),0)</f>
        <v>4133.3054821975393</v>
      </c>
      <c r="P440" s="164">
        <f>IFERROR(MIN(P437,P438/'Asset base'!P$101),0)</f>
        <v>4133.3054821975393</v>
      </c>
      <c r="Q440" s="164">
        <f>IFERROR(MIN(Q437,Q438/'Asset base'!Q$101),0)</f>
        <v>4133.3054821975393</v>
      </c>
      <c r="R440" s="164">
        <f>IFERROR(MIN(R437,R438/'Asset base'!R$101),0)</f>
        <v>4133.3054821975393</v>
      </c>
      <c r="S440" s="164">
        <f>IFERROR(MIN(S437,S438/'Asset base'!S$101),0)</f>
        <v>4133.3054821975393</v>
      </c>
      <c r="T440" s="164">
        <f>IFERROR(MIN(T437,T438/'Asset base'!T$101),0)</f>
        <v>4133.3054821975393</v>
      </c>
      <c r="U440" s="164">
        <f>IFERROR(MIN(U437,U438/'Asset base'!U$101),0)</f>
        <v>4133.3054821975393</v>
      </c>
      <c r="V440" s="164">
        <f>IFERROR(MIN(V437,V438/'Asset base'!V$101),0)</f>
        <v>4133.3054821975393</v>
      </c>
      <c r="W440" s="164">
        <f>IFERROR(MIN(W437,W438/'Asset base'!W$101),0)</f>
        <v>4133.3054821975393</v>
      </c>
      <c r="X440" s="164">
        <f>IFERROR(MIN(X437,X438/'Asset base'!X$101),0)</f>
        <v>4133.3054821975384</v>
      </c>
      <c r="Y440" s="164">
        <f>IFERROR(MIN(Y437,Y438/'Asset base'!Y$101),0)</f>
        <v>0</v>
      </c>
      <c r="Z440" s="164">
        <f>IFERROR(MIN(Z437,Z438/'Asset base'!Z$101),0)</f>
        <v>0</v>
      </c>
      <c r="AA440" s="164">
        <f>IFERROR(MIN(AA437,AA438/'Asset base'!AA$101),0)</f>
        <v>0</v>
      </c>
      <c r="AB440" s="164">
        <f>IFERROR(MIN(AB437,AB438/'Asset base'!AB$101),0)</f>
        <v>0</v>
      </c>
      <c r="AC440" s="164">
        <f>IFERROR(MIN(AC437,AC438/'Asset base'!AC$101),0)</f>
        <v>0</v>
      </c>
      <c r="AD440" s="164">
        <f>IFERROR(MIN(AD437,AD438/'Asset base'!AD$101),0)</f>
        <v>0</v>
      </c>
      <c r="AE440" s="164">
        <f>IFERROR(MIN(AE437,AE438/'Asset base'!AE$101),0)</f>
        <v>0</v>
      </c>
      <c r="AF440" s="164">
        <f>IFERROR(MIN(AF437,AF438/'Asset base'!AF$101),0)</f>
        <v>0</v>
      </c>
      <c r="AG440" s="164">
        <f>IFERROR(MIN(AG437,AG438/'Asset base'!AG$101),0)</f>
        <v>0</v>
      </c>
      <c r="AH440" s="164">
        <f>IFERROR(MIN(AH437,AH438/'Asset base'!AH$101),0)</f>
        <v>0</v>
      </c>
      <c r="AI440" s="164">
        <f>IFERROR(MIN(AI437,AI438/'Asset base'!AI$101),0)</f>
        <v>0</v>
      </c>
      <c r="AJ440" s="164">
        <f>IFERROR(MIN(AJ437,AJ438/'Asset base'!AJ$101),0)</f>
        <v>0</v>
      </c>
      <c r="AK440" s="164">
        <f>IFERROR(MIN(AK437,AK438/'Asset base'!AK$101),0)</f>
        <v>0</v>
      </c>
      <c r="AL440" s="164">
        <f>IFERROR(MIN(AL437,AL438/'Asset base'!AL$101),0)</f>
        <v>0</v>
      </c>
      <c r="AM440" s="164">
        <f>IFERROR(MIN(AM437,AM438/'Asset base'!AM$101),0)</f>
        <v>0</v>
      </c>
    </row>
    <row r="441" spans="1:39" outlineLevel="1">
      <c r="A441" s="100"/>
      <c r="B441" s="100"/>
      <c r="C441" s="100"/>
      <c r="D441" s="179" t="s">
        <v>34</v>
      </c>
      <c r="E441" s="165" t="str">
        <f>H779</f>
        <v>Terminal Domestic - Turbo Prop</v>
      </c>
      <c r="F441" s="165"/>
      <c r="G441" s="165" t="s">
        <v>77</v>
      </c>
      <c r="H441" s="121"/>
      <c r="I441" s="165"/>
      <c r="J441" s="165"/>
      <c r="K441" s="305"/>
      <c r="L441" s="305"/>
      <c r="M441" s="306"/>
      <c r="N441" s="203">
        <f>[2]OUTPUT!N928</f>
        <v>0</v>
      </c>
      <c r="O441" s="197">
        <f t="shared" ref="O441:X441" si="388">SUM(O439:O440)</f>
        <v>4133.3054821975393</v>
      </c>
      <c r="P441" s="164">
        <f t="shared" si="388"/>
        <v>8266.6109643950786</v>
      </c>
      <c r="Q441" s="164">
        <f t="shared" si="388"/>
        <v>12399.916446592619</v>
      </c>
      <c r="R441" s="164">
        <f t="shared" si="388"/>
        <v>16533.221928790157</v>
      </c>
      <c r="S441" s="164">
        <f t="shared" si="388"/>
        <v>20666.527410987695</v>
      </c>
      <c r="T441" s="164">
        <f t="shared" si="388"/>
        <v>24799.832893185234</v>
      </c>
      <c r="U441" s="164">
        <f t="shared" si="388"/>
        <v>28933.138375382772</v>
      </c>
      <c r="V441" s="164">
        <f t="shared" si="388"/>
        <v>33066.443857580314</v>
      </c>
      <c r="W441" s="164">
        <f t="shared" si="388"/>
        <v>37199.749339777853</v>
      </c>
      <c r="X441" s="164">
        <f t="shared" si="388"/>
        <v>41333.054821975391</v>
      </c>
      <c r="Y441" s="164">
        <f>SUM(Y439:Y440)</f>
        <v>41333.054821975391</v>
      </c>
      <c r="Z441" s="164">
        <f t="shared" ref="Z441:AM441" si="389">SUM(Z439:Z440)</f>
        <v>41333.054821975391</v>
      </c>
      <c r="AA441" s="164">
        <f t="shared" si="389"/>
        <v>41333.054821975391</v>
      </c>
      <c r="AB441" s="164">
        <f t="shared" si="389"/>
        <v>41333.054821975391</v>
      </c>
      <c r="AC441" s="164">
        <f t="shared" si="389"/>
        <v>41333.054821975391</v>
      </c>
      <c r="AD441" s="164">
        <f t="shared" si="389"/>
        <v>41333.054821975391</v>
      </c>
      <c r="AE441" s="164">
        <f t="shared" si="389"/>
        <v>41333.054821975391</v>
      </c>
      <c r="AF441" s="164">
        <f t="shared" si="389"/>
        <v>41333.054821975391</v>
      </c>
      <c r="AG441" s="164">
        <f t="shared" si="389"/>
        <v>41333.054821975391</v>
      </c>
      <c r="AH441" s="164">
        <f t="shared" si="389"/>
        <v>41333.054821975391</v>
      </c>
      <c r="AI441" s="164">
        <f t="shared" si="389"/>
        <v>41333.054821975391</v>
      </c>
      <c r="AJ441" s="164">
        <f t="shared" si="389"/>
        <v>41333.054821975391</v>
      </c>
      <c r="AK441" s="164">
        <f t="shared" si="389"/>
        <v>41333.054821975391</v>
      </c>
      <c r="AL441" s="164">
        <f t="shared" si="389"/>
        <v>41333.054821975391</v>
      </c>
      <c r="AM441" s="164">
        <f t="shared" si="389"/>
        <v>41333.054821975391</v>
      </c>
    </row>
    <row r="442" spans="1:39" outlineLevel="1">
      <c r="A442" s="100"/>
      <c r="B442" s="100"/>
      <c r="C442" s="100"/>
      <c r="D442" s="179" t="s">
        <v>34</v>
      </c>
      <c r="E442" s="165" t="str">
        <f>H779</f>
        <v>Terminal Domestic - Turbo Prop</v>
      </c>
      <c r="F442" s="165"/>
      <c r="G442" s="200" t="s">
        <v>76</v>
      </c>
      <c r="H442" s="201"/>
      <c r="I442" s="200"/>
      <c r="J442" s="200"/>
      <c r="K442" s="198">
        <f t="shared" ref="K442:S442" si="390">K438-K441</f>
        <v>0</v>
      </c>
      <c r="L442" s="198">
        <f t="shared" si="390"/>
        <v>0</v>
      </c>
      <c r="M442" s="227">
        <f>N437</f>
        <v>0</v>
      </c>
      <c r="N442" s="541">
        <f>'[7]2008-2012 Asset Mov''t Revised'!$AJ$79</f>
        <v>41333.054821975391</v>
      </c>
      <c r="O442" s="199">
        <f t="shared" si="390"/>
        <v>37199.749339777853</v>
      </c>
      <c r="P442" s="198">
        <f t="shared" si="390"/>
        <v>33066.443857580314</v>
      </c>
      <c r="Q442" s="198">
        <f t="shared" si="390"/>
        <v>28933.138375382772</v>
      </c>
      <c r="R442" s="198">
        <f t="shared" si="390"/>
        <v>24799.832893185234</v>
      </c>
      <c r="S442" s="198">
        <f t="shared" si="390"/>
        <v>20666.527410987695</v>
      </c>
      <c r="T442" s="198">
        <f t="shared" ref="T442:AM442" si="391">T438-T441</f>
        <v>16533.221928790157</v>
      </c>
      <c r="U442" s="198">
        <f t="shared" si="391"/>
        <v>12399.916446592619</v>
      </c>
      <c r="V442" s="198">
        <f t="shared" si="391"/>
        <v>8266.6109643950767</v>
      </c>
      <c r="W442" s="198">
        <f t="shared" si="391"/>
        <v>4133.3054821975384</v>
      </c>
      <c r="X442" s="198">
        <f t="shared" si="391"/>
        <v>0</v>
      </c>
      <c r="Y442" s="198">
        <f t="shared" si="391"/>
        <v>0</v>
      </c>
      <c r="Z442" s="198">
        <f t="shared" si="391"/>
        <v>0</v>
      </c>
      <c r="AA442" s="198">
        <f t="shared" si="391"/>
        <v>0</v>
      </c>
      <c r="AB442" s="198">
        <f t="shared" si="391"/>
        <v>0</v>
      </c>
      <c r="AC442" s="198">
        <f t="shared" si="391"/>
        <v>0</v>
      </c>
      <c r="AD442" s="198">
        <f t="shared" si="391"/>
        <v>0</v>
      </c>
      <c r="AE442" s="198">
        <f t="shared" si="391"/>
        <v>0</v>
      </c>
      <c r="AF442" s="198">
        <f t="shared" si="391"/>
        <v>0</v>
      </c>
      <c r="AG442" s="198">
        <f t="shared" si="391"/>
        <v>0</v>
      </c>
      <c r="AH442" s="198">
        <f t="shared" si="391"/>
        <v>0</v>
      </c>
      <c r="AI442" s="198">
        <f t="shared" si="391"/>
        <v>0</v>
      </c>
      <c r="AJ442" s="198">
        <f t="shared" si="391"/>
        <v>0</v>
      </c>
      <c r="AK442" s="198">
        <f t="shared" si="391"/>
        <v>0</v>
      </c>
      <c r="AL442" s="198">
        <f t="shared" si="391"/>
        <v>0</v>
      </c>
      <c r="AM442" s="198">
        <f t="shared" si="391"/>
        <v>0</v>
      </c>
    </row>
    <row r="443" spans="1:39" outlineLevel="1">
      <c r="A443" s="100"/>
      <c r="B443" s="100"/>
      <c r="C443" s="100"/>
      <c r="D443" s="179"/>
      <c r="E443" s="165"/>
      <c r="F443" s="165"/>
      <c r="G443" s="165"/>
      <c r="H443" s="121"/>
      <c r="I443" s="165"/>
      <c r="J443" s="165"/>
      <c r="K443" s="164"/>
      <c r="L443" s="164"/>
      <c r="M443" s="227"/>
      <c r="N443" s="203"/>
      <c r="O443" s="197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</row>
    <row r="444" spans="1:39" outlineLevel="1">
      <c r="A444" s="100"/>
      <c r="B444" s="100"/>
      <c r="C444" s="100"/>
      <c r="D444" s="179"/>
      <c r="E444" s="165"/>
      <c r="F444" s="165"/>
      <c r="G444" s="206" t="str">
        <f>G826</f>
        <v>Airfield Runway Apron Taxi</v>
      </c>
      <c r="H444" s="121"/>
      <c r="I444" s="165"/>
      <c r="J444" s="165"/>
      <c r="K444" s="207"/>
      <c r="L444" s="164"/>
      <c r="M444" s="227"/>
      <c r="N444" s="203"/>
      <c r="O444" s="197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  <c r="AF444" s="165"/>
      <c r="AG444" s="165"/>
      <c r="AH444" s="165"/>
      <c r="AI444" s="165"/>
      <c r="AJ444" s="165"/>
      <c r="AK444" s="165"/>
      <c r="AL444" s="165"/>
      <c r="AM444" s="165"/>
    </row>
    <row r="445" spans="1:39" outlineLevel="1">
      <c r="A445" s="100"/>
      <c r="B445" s="100"/>
      <c r="C445" s="100"/>
      <c r="D445" s="179"/>
      <c r="E445" s="165"/>
      <c r="F445" s="165"/>
      <c r="G445" s="205"/>
      <c r="H445" s="121"/>
      <c r="I445" s="165"/>
      <c r="J445" s="165"/>
      <c r="K445" s="207"/>
      <c r="L445" s="164"/>
      <c r="M445" s="227"/>
      <c r="N445" s="203"/>
      <c r="O445" s="197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  <c r="AA445" s="165"/>
      <c r="AB445" s="165"/>
      <c r="AC445" s="165"/>
      <c r="AD445" s="165"/>
      <c r="AE445" s="165"/>
      <c r="AF445" s="165"/>
      <c r="AG445" s="165"/>
      <c r="AH445" s="165"/>
      <c r="AI445" s="165"/>
      <c r="AJ445" s="165"/>
      <c r="AK445" s="165"/>
      <c r="AL445" s="165"/>
      <c r="AM445" s="165"/>
    </row>
    <row r="446" spans="1:39" outlineLevel="1">
      <c r="A446" s="100"/>
      <c r="B446" s="100"/>
      <c r="C446" s="100"/>
      <c r="D446" s="179" t="str">
        <f t="shared" ref="D446:D451" si="392">$G$545</f>
        <v>Airfield Runway Apron Taxi</v>
      </c>
      <c r="E446" s="165" t="str">
        <f>H779</f>
        <v>Terminal Domestic - Turbo Prop</v>
      </c>
      <c r="F446" s="165"/>
      <c r="G446" s="165" t="s">
        <v>80</v>
      </c>
      <c r="H446" s="121"/>
      <c r="I446" s="165"/>
      <c r="J446" s="165"/>
      <c r="K446" s="164"/>
      <c r="L446" s="164"/>
      <c r="M446" s="227"/>
      <c r="N446" s="203">
        <f>[2]OUTPUT!N933</f>
        <v>0</v>
      </c>
      <c r="O446" s="197">
        <f t="shared" ref="O446:X446" si="393">N451</f>
        <v>0</v>
      </c>
      <c r="P446" s="164">
        <f t="shared" si="393"/>
        <v>0</v>
      </c>
      <c r="Q446" s="164">
        <f t="shared" si="393"/>
        <v>0</v>
      </c>
      <c r="R446" s="164">
        <f t="shared" si="393"/>
        <v>0</v>
      </c>
      <c r="S446" s="164">
        <f t="shared" si="393"/>
        <v>0</v>
      </c>
      <c r="T446" s="164">
        <f t="shared" si="393"/>
        <v>0</v>
      </c>
      <c r="U446" s="164">
        <f t="shared" si="393"/>
        <v>0</v>
      </c>
      <c r="V446" s="164">
        <f t="shared" si="393"/>
        <v>0</v>
      </c>
      <c r="W446" s="164">
        <f t="shared" si="393"/>
        <v>0</v>
      </c>
      <c r="X446" s="164">
        <f t="shared" si="393"/>
        <v>0</v>
      </c>
      <c r="Y446" s="164">
        <f t="shared" ref="Y446:AM446" si="394">X451</f>
        <v>0</v>
      </c>
      <c r="Z446" s="164">
        <f t="shared" si="394"/>
        <v>0</v>
      </c>
      <c r="AA446" s="164">
        <f t="shared" si="394"/>
        <v>0</v>
      </c>
      <c r="AB446" s="164">
        <f t="shared" si="394"/>
        <v>0</v>
      </c>
      <c r="AC446" s="164">
        <f t="shared" si="394"/>
        <v>0</v>
      </c>
      <c r="AD446" s="164">
        <f t="shared" si="394"/>
        <v>0</v>
      </c>
      <c r="AE446" s="164">
        <f t="shared" si="394"/>
        <v>0</v>
      </c>
      <c r="AF446" s="164">
        <f t="shared" si="394"/>
        <v>0</v>
      </c>
      <c r="AG446" s="164">
        <f t="shared" si="394"/>
        <v>0</v>
      </c>
      <c r="AH446" s="164">
        <f t="shared" si="394"/>
        <v>0</v>
      </c>
      <c r="AI446" s="164">
        <f t="shared" si="394"/>
        <v>0</v>
      </c>
      <c r="AJ446" s="164">
        <f t="shared" si="394"/>
        <v>0</v>
      </c>
      <c r="AK446" s="164">
        <f t="shared" si="394"/>
        <v>0</v>
      </c>
      <c r="AL446" s="164">
        <f t="shared" si="394"/>
        <v>0</v>
      </c>
      <c r="AM446" s="164">
        <f t="shared" si="394"/>
        <v>0</v>
      </c>
    </row>
    <row r="447" spans="1:39" outlineLevel="1">
      <c r="A447" s="100"/>
      <c r="B447" s="100"/>
      <c r="C447" s="100"/>
      <c r="D447" s="179" t="str">
        <f t="shared" si="392"/>
        <v>Airfield Runway Apron Taxi</v>
      </c>
      <c r="E447" s="165" t="str">
        <f>H779</f>
        <v>Terminal Domestic - Turbo Prop</v>
      </c>
      <c r="F447" s="165"/>
      <c r="G447" s="165" t="s">
        <v>60</v>
      </c>
      <c r="H447" s="121"/>
      <c r="I447" s="165"/>
      <c r="J447" s="165"/>
      <c r="K447" s="303"/>
      <c r="L447" s="303"/>
      <c r="M447" s="304"/>
      <c r="N447" s="203">
        <f>[2]OUTPUT!N934</f>
        <v>0</v>
      </c>
      <c r="O447" s="197">
        <f>N451</f>
        <v>0</v>
      </c>
      <c r="P447" s="164">
        <f t="shared" ref="P447:X447" si="395">O447</f>
        <v>0</v>
      </c>
      <c r="Q447" s="164">
        <f t="shared" si="395"/>
        <v>0</v>
      </c>
      <c r="R447" s="164">
        <f t="shared" si="395"/>
        <v>0</v>
      </c>
      <c r="S447" s="164">
        <f t="shared" si="395"/>
        <v>0</v>
      </c>
      <c r="T447" s="164">
        <f t="shared" si="395"/>
        <v>0</v>
      </c>
      <c r="U447" s="164">
        <f t="shared" si="395"/>
        <v>0</v>
      </c>
      <c r="V447" s="164">
        <f t="shared" si="395"/>
        <v>0</v>
      </c>
      <c r="W447" s="164">
        <f t="shared" si="395"/>
        <v>0</v>
      </c>
      <c r="X447" s="164">
        <f t="shared" si="395"/>
        <v>0</v>
      </c>
      <c r="Y447" s="164">
        <f t="shared" ref="Y447:AM447" si="396">X447</f>
        <v>0</v>
      </c>
      <c r="Z447" s="164">
        <f t="shared" si="396"/>
        <v>0</v>
      </c>
      <c r="AA447" s="164">
        <f t="shared" si="396"/>
        <v>0</v>
      </c>
      <c r="AB447" s="164">
        <f t="shared" si="396"/>
        <v>0</v>
      </c>
      <c r="AC447" s="164">
        <f t="shared" si="396"/>
        <v>0</v>
      </c>
      <c r="AD447" s="164">
        <f t="shared" si="396"/>
        <v>0</v>
      </c>
      <c r="AE447" s="164">
        <f t="shared" si="396"/>
        <v>0</v>
      </c>
      <c r="AF447" s="164">
        <f t="shared" si="396"/>
        <v>0</v>
      </c>
      <c r="AG447" s="164">
        <f t="shared" si="396"/>
        <v>0</v>
      </c>
      <c r="AH447" s="164">
        <f t="shared" si="396"/>
        <v>0</v>
      </c>
      <c r="AI447" s="164">
        <f t="shared" si="396"/>
        <v>0</v>
      </c>
      <c r="AJ447" s="164">
        <f t="shared" si="396"/>
        <v>0</v>
      </c>
      <c r="AK447" s="164">
        <f t="shared" si="396"/>
        <v>0</v>
      </c>
      <c r="AL447" s="164">
        <f t="shared" si="396"/>
        <v>0</v>
      </c>
      <c r="AM447" s="164">
        <f t="shared" si="396"/>
        <v>0</v>
      </c>
    </row>
    <row r="448" spans="1:39" outlineLevel="1">
      <c r="A448" s="100"/>
      <c r="B448" s="100"/>
      <c r="C448" s="100"/>
      <c r="D448" s="179" t="str">
        <f t="shared" si="392"/>
        <v>Airfield Runway Apron Taxi</v>
      </c>
      <c r="E448" s="165" t="str">
        <f>H779</f>
        <v>Terminal Domestic - Turbo Prop</v>
      </c>
      <c r="F448" s="165"/>
      <c r="G448" s="165" t="s">
        <v>79</v>
      </c>
      <c r="H448" s="121"/>
      <c r="I448" s="165"/>
      <c r="J448" s="165"/>
      <c r="K448" s="303"/>
      <c r="L448" s="303"/>
      <c r="M448" s="202"/>
      <c r="N448" s="203">
        <f>[2]OUTPUT!N935</f>
        <v>0</v>
      </c>
      <c r="O448" s="197">
        <f t="shared" ref="O448:X448" si="397">N450</f>
        <v>0</v>
      </c>
      <c r="P448" s="164">
        <f t="shared" si="397"/>
        <v>0</v>
      </c>
      <c r="Q448" s="164">
        <f t="shared" si="397"/>
        <v>0</v>
      </c>
      <c r="R448" s="164">
        <f t="shared" si="397"/>
        <v>0</v>
      </c>
      <c r="S448" s="164">
        <f t="shared" si="397"/>
        <v>0</v>
      </c>
      <c r="T448" s="164">
        <f t="shared" si="397"/>
        <v>0</v>
      </c>
      <c r="U448" s="164">
        <f t="shared" si="397"/>
        <v>0</v>
      </c>
      <c r="V448" s="164">
        <f t="shared" si="397"/>
        <v>0</v>
      </c>
      <c r="W448" s="164">
        <f t="shared" si="397"/>
        <v>0</v>
      </c>
      <c r="X448" s="164">
        <f t="shared" si="397"/>
        <v>0</v>
      </c>
      <c r="Y448" s="164">
        <f t="shared" ref="Y448:AM448" si="398">X450</f>
        <v>0</v>
      </c>
      <c r="Z448" s="164">
        <f t="shared" si="398"/>
        <v>0</v>
      </c>
      <c r="AA448" s="164">
        <f t="shared" si="398"/>
        <v>0</v>
      </c>
      <c r="AB448" s="164">
        <f t="shared" si="398"/>
        <v>0</v>
      </c>
      <c r="AC448" s="164">
        <f t="shared" si="398"/>
        <v>0</v>
      </c>
      <c r="AD448" s="164">
        <f t="shared" si="398"/>
        <v>0</v>
      </c>
      <c r="AE448" s="164">
        <f t="shared" si="398"/>
        <v>0</v>
      </c>
      <c r="AF448" s="164">
        <f t="shared" si="398"/>
        <v>0</v>
      </c>
      <c r="AG448" s="164">
        <f t="shared" si="398"/>
        <v>0</v>
      </c>
      <c r="AH448" s="164">
        <f t="shared" si="398"/>
        <v>0</v>
      </c>
      <c r="AI448" s="164">
        <f t="shared" si="398"/>
        <v>0</v>
      </c>
      <c r="AJ448" s="164">
        <f t="shared" si="398"/>
        <v>0</v>
      </c>
      <c r="AK448" s="164">
        <f t="shared" si="398"/>
        <v>0</v>
      </c>
      <c r="AL448" s="164">
        <f t="shared" si="398"/>
        <v>0</v>
      </c>
      <c r="AM448" s="164">
        <f t="shared" si="398"/>
        <v>0</v>
      </c>
    </row>
    <row r="449" spans="1:39" outlineLevel="1">
      <c r="A449" s="100"/>
      <c r="B449" s="100"/>
      <c r="C449" s="100"/>
      <c r="D449" s="179" t="str">
        <f t="shared" si="392"/>
        <v>Airfield Runway Apron Taxi</v>
      </c>
      <c r="E449" s="165" t="str">
        <f>H779</f>
        <v>Terminal Domestic - Turbo Prop</v>
      </c>
      <c r="F449" s="165"/>
      <c r="G449" s="165" t="s">
        <v>78</v>
      </c>
      <c r="H449" s="121"/>
      <c r="I449" s="165"/>
      <c r="J449" s="165"/>
      <c r="K449" s="303"/>
      <c r="L449" s="303"/>
      <c r="M449" s="202"/>
      <c r="N449" s="203">
        <f>[2]OUTPUT!N936</f>
        <v>0</v>
      </c>
      <c r="O449" s="197">
        <f>IFERROR(MIN(O446,O447/'Asset base'!O$102),0)</f>
        <v>0</v>
      </c>
      <c r="P449" s="164">
        <f>IFERROR(MIN(P446,P447/'Asset base'!P$102),0)</f>
        <v>0</v>
      </c>
      <c r="Q449" s="164">
        <f>IFERROR(MIN(Q446,Q447/'Asset base'!Q$102),0)</f>
        <v>0</v>
      </c>
      <c r="R449" s="164">
        <f>IFERROR(MIN(R446,R447/'Asset base'!R$102),0)</f>
        <v>0</v>
      </c>
      <c r="S449" s="164">
        <f>IFERROR(MIN(S446,S447/'Asset base'!S$102),0)</f>
        <v>0</v>
      </c>
      <c r="T449" s="164">
        <f>IFERROR(MIN(T446,T447/'Asset base'!T$102),0)</f>
        <v>0</v>
      </c>
      <c r="U449" s="164">
        <f>IFERROR(MIN(U446,U447/'Asset base'!U$102),0)</f>
        <v>0</v>
      </c>
      <c r="V449" s="164">
        <f>IFERROR(MIN(V446,V447/'Asset base'!V$102),0)</f>
        <v>0</v>
      </c>
      <c r="W449" s="164">
        <f>IFERROR(MIN(W446,W447/'Asset base'!W$102),0)</f>
        <v>0</v>
      </c>
      <c r="X449" s="164">
        <f>IFERROR(MIN(X446,X447/'Asset base'!X$102),0)</f>
        <v>0</v>
      </c>
      <c r="Y449" s="164">
        <f>IFERROR(MIN(Y446,Y447/'Asset base'!Y$102),0)</f>
        <v>0</v>
      </c>
      <c r="Z449" s="164">
        <f>IFERROR(MIN(Z446,Z447/'Asset base'!Z$102),0)</f>
        <v>0</v>
      </c>
      <c r="AA449" s="164">
        <f>IFERROR(MIN(AA446,AA447/'Asset base'!AA$102),0)</f>
        <v>0</v>
      </c>
      <c r="AB449" s="164">
        <f>IFERROR(MIN(AB446,AB447/'Asset base'!AB$102),0)</f>
        <v>0</v>
      </c>
      <c r="AC449" s="164">
        <f>IFERROR(MIN(AC446,AC447/'Asset base'!AC$102),0)</f>
        <v>0</v>
      </c>
      <c r="AD449" s="164">
        <f>IFERROR(MIN(AD446,AD447/'Asset base'!AD$102),0)</f>
        <v>0</v>
      </c>
      <c r="AE449" s="164">
        <f>IFERROR(MIN(AE446,AE447/'Asset base'!AE$102),0)</f>
        <v>0</v>
      </c>
      <c r="AF449" s="164">
        <f>IFERROR(MIN(AF446,AF447/'Asset base'!AF$102),0)</f>
        <v>0</v>
      </c>
      <c r="AG449" s="164">
        <f>IFERROR(MIN(AG446,AG447/'Asset base'!AG$102),0)</f>
        <v>0</v>
      </c>
      <c r="AH449" s="164">
        <f>IFERROR(MIN(AH446,AH447/'Asset base'!AH$102),0)</f>
        <v>0</v>
      </c>
      <c r="AI449" s="164">
        <f>IFERROR(MIN(AI446,AI447/'Asset base'!AI$102),0)</f>
        <v>0</v>
      </c>
      <c r="AJ449" s="164">
        <f>IFERROR(MIN(AJ446,AJ447/'Asset base'!AJ$102),0)</f>
        <v>0</v>
      </c>
      <c r="AK449" s="164">
        <f>IFERROR(MIN(AK446,AK447/'Asset base'!AK$102),0)</f>
        <v>0</v>
      </c>
      <c r="AL449" s="164">
        <f>IFERROR(MIN(AL446,AL447/'Asset base'!AL$102),0)</f>
        <v>0</v>
      </c>
      <c r="AM449" s="164">
        <f>IFERROR(MIN(AM446,AM447/'Asset base'!AM$102),0)</f>
        <v>0</v>
      </c>
    </row>
    <row r="450" spans="1:39" outlineLevel="1">
      <c r="A450" s="100"/>
      <c r="B450" s="100"/>
      <c r="C450" s="100"/>
      <c r="D450" s="179" t="str">
        <f t="shared" si="392"/>
        <v>Airfield Runway Apron Taxi</v>
      </c>
      <c r="E450" s="165" t="str">
        <f>H779</f>
        <v>Terminal Domestic - Turbo Prop</v>
      </c>
      <c r="F450" s="165"/>
      <c r="G450" s="165" t="s">
        <v>77</v>
      </c>
      <c r="H450" s="121"/>
      <c r="I450" s="165"/>
      <c r="J450" s="165"/>
      <c r="K450" s="305"/>
      <c r="L450" s="305"/>
      <c r="M450" s="306"/>
      <c r="N450" s="203">
        <f>[2]OUTPUT!N937</f>
        <v>0</v>
      </c>
      <c r="O450" s="197">
        <f t="shared" ref="O450:X450" si="399">SUM(O448:O449)</f>
        <v>0</v>
      </c>
      <c r="P450" s="164">
        <f t="shared" si="399"/>
        <v>0</v>
      </c>
      <c r="Q450" s="164">
        <f t="shared" si="399"/>
        <v>0</v>
      </c>
      <c r="R450" s="164">
        <f t="shared" si="399"/>
        <v>0</v>
      </c>
      <c r="S450" s="164">
        <f t="shared" si="399"/>
        <v>0</v>
      </c>
      <c r="T450" s="164">
        <f t="shared" si="399"/>
        <v>0</v>
      </c>
      <c r="U450" s="164">
        <f t="shared" si="399"/>
        <v>0</v>
      </c>
      <c r="V450" s="164">
        <f t="shared" si="399"/>
        <v>0</v>
      </c>
      <c r="W450" s="164">
        <f t="shared" si="399"/>
        <v>0</v>
      </c>
      <c r="X450" s="164">
        <f t="shared" si="399"/>
        <v>0</v>
      </c>
      <c r="Y450" s="164">
        <f>SUM(Y448:Y449)</f>
        <v>0</v>
      </c>
      <c r="Z450" s="164">
        <f t="shared" ref="Z450:AM450" si="400">SUM(Z448:Z449)</f>
        <v>0</v>
      </c>
      <c r="AA450" s="164">
        <f t="shared" si="400"/>
        <v>0</v>
      </c>
      <c r="AB450" s="164">
        <f t="shared" si="400"/>
        <v>0</v>
      </c>
      <c r="AC450" s="164">
        <f t="shared" si="400"/>
        <v>0</v>
      </c>
      <c r="AD450" s="164">
        <f t="shared" si="400"/>
        <v>0</v>
      </c>
      <c r="AE450" s="164">
        <f t="shared" si="400"/>
        <v>0</v>
      </c>
      <c r="AF450" s="164">
        <f t="shared" si="400"/>
        <v>0</v>
      </c>
      <c r="AG450" s="164">
        <f t="shared" si="400"/>
        <v>0</v>
      </c>
      <c r="AH450" s="164">
        <f t="shared" si="400"/>
        <v>0</v>
      </c>
      <c r="AI450" s="164">
        <f t="shared" si="400"/>
        <v>0</v>
      </c>
      <c r="AJ450" s="164">
        <f t="shared" si="400"/>
        <v>0</v>
      </c>
      <c r="AK450" s="164">
        <f t="shared" si="400"/>
        <v>0</v>
      </c>
      <c r="AL450" s="164">
        <f t="shared" si="400"/>
        <v>0</v>
      </c>
      <c r="AM450" s="164">
        <f t="shared" si="400"/>
        <v>0</v>
      </c>
    </row>
    <row r="451" spans="1:39" outlineLevel="1">
      <c r="A451" s="100"/>
      <c r="B451" s="100"/>
      <c r="C451" s="100"/>
      <c r="D451" s="179" t="str">
        <f t="shared" si="392"/>
        <v>Airfield Runway Apron Taxi</v>
      </c>
      <c r="E451" s="165" t="str">
        <f>H779</f>
        <v>Terminal Domestic - Turbo Prop</v>
      </c>
      <c r="F451" s="165"/>
      <c r="G451" s="200" t="s">
        <v>76</v>
      </c>
      <c r="H451" s="201"/>
      <c r="I451" s="200"/>
      <c r="J451" s="200"/>
      <c r="K451" s="198">
        <f t="shared" ref="K451:S451" si="401">K447-K450</f>
        <v>0</v>
      </c>
      <c r="L451" s="198">
        <f t="shared" si="401"/>
        <v>0</v>
      </c>
      <c r="M451" s="227">
        <f>N446</f>
        <v>0</v>
      </c>
      <c r="N451" s="541">
        <f>'[7]2008-2012 Asset Mov''t Revised'!$AJ$80</f>
        <v>0</v>
      </c>
      <c r="O451" s="199">
        <f t="shared" si="401"/>
        <v>0</v>
      </c>
      <c r="P451" s="198">
        <f t="shared" si="401"/>
        <v>0</v>
      </c>
      <c r="Q451" s="198">
        <f t="shared" si="401"/>
        <v>0</v>
      </c>
      <c r="R451" s="198">
        <f t="shared" si="401"/>
        <v>0</v>
      </c>
      <c r="S451" s="198">
        <f t="shared" si="401"/>
        <v>0</v>
      </c>
      <c r="T451" s="198">
        <f t="shared" ref="T451:AM451" si="402">T447-T450</f>
        <v>0</v>
      </c>
      <c r="U451" s="198">
        <f t="shared" si="402"/>
        <v>0</v>
      </c>
      <c r="V451" s="198">
        <f t="shared" si="402"/>
        <v>0</v>
      </c>
      <c r="W451" s="198">
        <f t="shared" si="402"/>
        <v>0</v>
      </c>
      <c r="X451" s="198">
        <f t="shared" si="402"/>
        <v>0</v>
      </c>
      <c r="Y451" s="198">
        <f t="shared" si="402"/>
        <v>0</v>
      </c>
      <c r="Z451" s="198">
        <f t="shared" si="402"/>
        <v>0</v>
      </c>
      <c r="AA451" s="198">
        <f t="shared" si="402"/>
        <v>0</v>
      </c>
      <c r="AB451" s="198">
        <f t="shared" si="402"/>
        <v>0</v>
      </c>
      <c r="AC451" s="198">
        <f t="shared" si="402"/>
        <v>0</v>
      </c>
      <c r="AD451" s="198">
        <f t="shared" si="402"/>
        <v>0</v>
      </c>
      <c r="AE451" s="198">
        <f t="shared" si="402"/>
        <v>0</v>
      </c>
      <c r="AF451" s="198">
        <f t="shared" si="402"/>
        <v>0</v>
      </c>
      <c r="AG451" s="198">
        <f t="shared" si="402"/>
        <v>0</v>
      </c>
      <c r="AH451" s="198">
        <f t="shared" si="402"/>
        <v>0</v>
      </c>
      <c r="AI451" s="198">
        <f t="shared" si="402"/>
        <v>0</v>
      </c>
      <c r="AJ451" s="198">
        <f t="shared" si="402"/>
        <v>0</v>
      </c>
      <c r="AK451" s="198">
        <f t="shared" si="402"/>
        <v>0</v>
      </c>
      <c r="AL451" s="198">
        <f t="shared" si="402"/>
        <v>0</v>
      </c>
      <c r="AM451" s="198">
        <f t="shared" si="402"/>
        <v>0</v>
      </c>
    </row>
    <row r="452" spans="1:39" outlineLevel="1">
      <c r="A452" s="100"/>
      <c r="B452" s="100"/>
      <c r="C452" s="100"/>
      <c r="D452" s="179"/>
      <c r="E452" s="165"/>
      <c r="F452" s="165"/>
      <c r="G452" s="165"/>
      <c r="H452" s="121"/>
      <c r="I452" s="165"/>
      <c r="J452" s="165"/>
      <c r="K452" s="164"/>
      <c r="L452" s="164"/>
      <c r="M452" s="227"/>
      <c r="N452" s="203"/>
      <c r="O452" s="197"/>
      <c r="P452" s="164"/>
      <c r="Q452" s="164"/>
      <c r="R452" s="164"/>
      <c r="S452" s="164"/>
      <c r="T452" s="164"/>
      <c r="U452" s="164"/>
      <c r="V452" s="164"/>
      <c r="W452" s="164"/>
      <c r="X452" s="164"/>
      <c r="Y452" s="164"/>
      <c r="Z452" s="164"/>
      <c r="AA452" s="164"/>
      <c r="AB452" s="164"/>
      <c r="AC452" s="164"/>
      <c r="AD452" s="164"/>
      <c r="AE452" s="164"/>
      <c r="AF452" s="164"/>
      <c r="AG452" s="164"/>
      <c r="AH452" s="164"/>
      <c r="AI452" s="164"/>
      <c r="AJ452" s="164"/>
      <c r="AK452" s="164"/>
      <c r="AL452" s="164"/>
      <c r="AM452" s="164"/>
    </row>
    <row r="453" spans="1:39" outlineLevel="1">
      <c r="A453" s="100"/>
      <c r="B453" s="100"/>
      <c r="C453" s="100"/>
      <c r="D453" s="179"/>
      <c r="E453" s="165"/>
      <c r="F453" s="165"/>
      <c r="G453" s="206" t="str">
        <f>G835</f>
        <v>Infrastructure</v>
      </c>
      <c r="H453" s="121"/>
      <c r="I453" s="165"/>
      <c r="J453" s="165"/>
      <c r="K453" s="207"/>
      <c r="L453" s="164"/>
      <c r="M453" s="227"/>
      <c r="N453" s="203"/>
      <c r="O453" s="197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  <c r="AA453" s="165"/>
      <c r="AB453" s="165"/>
      <c r="AC453" s="165"/>
      <c r="AD453" s="165"/>
      <c r="AE453" s="165"/>
      <c r="AF453" s="165"/>
      <c r="AG453" s="165"/>
      <c r="AH453" s="165"/>
      <c r="AI453" s="165"/>
      <c r="AJ453" s="165"/>
      <c r="AK453" s="165"/>
      <c r="AL453" s="165"/>
      <c r="AM453" s="165"/>
    </row>
    <row r="454" spans="1:39" outlineLevel="1">
      <c r="A454" s="100"/>
      <c r="B454" s="100"/>
      <c r="C454" s="100"/>
      <c r="D454" s="179"/>
      <c r="E454" s="165"/>
      <c r="F454" s="165"/>
      <c r="G454" s="205"/>
      <c r="H454" s="121"/>
      <c r="I454" s="165"/>
      <c r="J454" s="165"/>
      <c r="K454" s="207"/>
      <c r="L454" s="164"/>
      <c r="M454" s="227"/>
      <c r="N454" s="203"/>
      <c r="O454" s="197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  <c r="AA454" s="165"/>
      <c r="AB454" s="165"/>
      <c r="AC454" s="165"/>
      <c r="AD454" s="165"/>
      <c r="AE454" s="165"/>
      <c r="AF454" s="165"/>
      <c r="AG454" s="165"/>
      <c r="AH454" s="165"/>
      <c r="AI454" s="165"/>
      <c r="AJ454" s="165"/>
      <c r="AK454" s="165"/>
      <c r="AL454" s="165"/>
      <c r="AM454" s="165"/>
    </row>
    <row r="455" spans="1:39" outlineLevel="1">
      <c r="A455" s="100"/>
      <c r="B455" s="100"/>
      <c r="C455" s="100"/>
      <c r="D455" s="179" t="str">
        <f t="shared" ref="D455:D460" si="403">$G$554</f>
        <v>Infrastructure</v>
      </c>
      <c r="E455" s="165" t="str">
        <f>H779</f>
        <v>Terminal Domestic - Turbo Prop</v>
      </c>
      <c r="F455" s="165"/>
      <c r="G455" s="165" t="s">
        <v>80</v>
      </c>
      <c r="H455" s="121"/>
      <c r="I455" s="165"/>
      <c r="J455" s="165"/>
      <c r="K455" s="164"/>
      <c r="L455" s="164"/>
      <c r="M455" s="227"/>
      <c r="N455" s="203">
        <f>[2]OUTPUT!N942</f>
        <v>0</v>
      </c>
      <c r="O455" s="197">
        <f t="shared" ref="O455:X455" si="404">N460</f>
        <v>3697.9924799267815</v>
      </c>
      <c r="P455" s="164">
        <f t="shared" si="404"/>
        <v>3328.1932319341031</v>
      </c>
      <c r="Q455" s="164">
        <f t="shared" si="404"/>
        <v>2958.3939839414252</v>
      </c>
      <c r="R455" s="164">
        <f t="shared" si="404"/>
        <v>2588.5947359487473</v>
      </c>
      <c r="S455" s="164">
        <f t="shared" si="404"/>
        <v>2218.7954879560689</v>
      </c>
      <c r="T455" s="164">
        <f t="shared" si="404"/>
        <v>1848.9962399633907</v>
      </c>
      <c r="U455" s="164">
        <f t="shared" si="404"/>
        <v>1479.1969919707126</v>
      </c>
      <c r="V455" s="164">
        <f t="shared" si="404"/>
        <v>1109.3977439780342</v>
      </c>
      <c r="W455" s="164">
        <f t="shared" si="404"/>
        <v>739.59849598535629</v>
      </c>
      <c r="X455" s="164">
        <f t="shared" si="404"/>
        <v>369.79924799267837</v>
      </c>
      <c r="Y455" s="164">
        <f t="shared" ref="Y455:AM455" si="405">X460</f>
        <v>0</v>
      </c>
      <c r="Z455" s="164">
        <f t="shared" si="405"/>
        <v>0</v>
      </c>
      <c r="AA455" s="164">
        <f t="shared" si="405"/>
        <v>0</v>
      </c>
      <c r="AB455" s="164">
        <f t="shared" si="405"/>
        <v>0</v>
      </c>
      <c r="AC455" s="164">
        <f t="shared" si="405"/>
        <v>0</v>
      </c>
      <c r="AD455" s="164">
        <f t="shared" si="405"/>
        <v>0</v>
      </c>
      <c r="AE455" s="164">
        <f t="shared" si="405"/>
        <v>0</v>
      </c>
      <c r="AF455" s="164">
        <f t="shared" si="405"/>
        <v>0</v>
      </c>
      <c r="AG455" s="164">
        <f t="shared" si="405"/>
        <v>0</v>
      </c>
      <c r="AH455" s="164">
        <f t="shared" si="405"/>
        <v>0</v>
      </c>
      <c r="AI455" s="164">
        <f t="shared" si="405"/>
        <v>0</v>
      </c>
      <c r="AJ455" s="164">
        <f t="shared" si="405"/>
        <v>0</v>
      </c>
      <c r="AK455" s="164">
        <f t="shared" si="405"/>
        <v>0</v>
      </c>
      <c r="AL455" s="164">
        <f t="shared" si="405"/>
        <v>0</v>
      </c>
      <c r="AM455" s="164">
        <f t="shared" si="405"/>
        <v>0</v>
      </c>
    </row>
    <row r="456" spans="1:39" outlineLevel="1">
      <c r="A456" s="100"/>
      <c r="B456" s="100"/>
      <c r="C456" s="100"/>
      <c r="D456" s="179" t="str">
        <f t="shared" si="403"/>
        <v>Infrastructure</v>
      </c>
      <c r="E456" s="165" t="str">
        <f>H779</f>
        <v>Terminal Domestic - Turbo Prop</v>
      </c>
      <c r="F456" s="165"/>
      <c r="G456" s="165" t="s">
        <v>60</v>
      </c>
      <c r="H456" s="121"/>
      <c r="I456" s="165"/>
      <c r="J456" s="165"/>
      <c r="K456" s="303"/>
      <c r="L456" s="303"/>
      <c r="M456" s="304"/>
      <c r="N456" s="203">
        <f>[2]OUTPUT!N943</f>
        <v>0</v>
      </c>
      <c r="O456" s="197">
        <f>N460</f>
        <v>3697.9924799267815</v>
      </c>
      <c r="P456" s="164">
        <f t="shared" ref="P456:X456" si="406">O456</f>
        <v>3697.9924799267815</v>
      </c>
      <c r="Q456" s="164">
        <f t="shared" si="406"/>
        <v>3697.9924799267815</v>
      </c>
      <c r="R456" s="164">
        <f t="shared" si="406"/>
        <v>3697.9924799267815</v>
      </c>
      <c r="S456" s="164">
        <f t="shared" si="406"/>
        <v>3697.9924799267815</v>
      </c>
      <c r="T456" s="164">
        <f t="shared" si="406"/>
        <v>3697.9924799267815</v>
      </c>
      <c r="U456" s="164">
        <f t="shared" si="406"/>
        <v>3697.9924799267815</v>
      </c>
      <c r="V456" s="164">
        <f t="shared" si="406"/>
        <v>3697.9924799267815</v>
      </c>
      <c r="W456" s="164">
        <f t="shared" si="406"/>
        <v>3697.9924799267815</v>
      </c>
      <c r="X456" s="164">
        <f t="shared" si="406"/>
        <v>3697.9924799267815</v>
      </c>
      <c r="Y456" s="164">
        <f t="shared" ref="Y456:AM456" si="407">X456</f>
        <v>3697.9924799267815</v>
      </c>
      <c r="Z456" s="164">
        <f t="shared" si="407"/>
        <v>3697.9924799267815</v>
      </c>
      <c r="AA456" s="164">
        <f t="shared" si="407"/>
        <v>3697.9924799267815</v>
      </c>
      <c r="AB456" s="164">
        <f t="shared" si="407"/>
        <v>3697.9924799267815</v>
      </c>
      <c r="AC456" s="164">
        <f t="shared" si="407"/>
        <v>3697.9924799267815</v>
      </c>
      <c r="AD456" s="164">
        <f t="shared" si="407"/>
        <v>3697.9924799267815</v>
      </c>
      <c r="AE456" s="164">
        <f t="shared" si="407"/>
        <v>3697.9924799267815</v>
      </c>
      <c r="AF456" s="164">
        <f t="shared" si="407"/>
        <v>3697.9924799267815</v>
      </c>
      <c r="AG456" s="164">
        <f t="shared" si="407"/>
        <v>3697.9924799267815</v>
      </c>
      <c r="AH456" s="164">
        <f t="shared" si="407"/>
        <v>3697.9924799267815</v>
      </c>
      <c r="AI456" s="164">
        <f t="shared" si="407"/>
        <v>3697.9924799267815</v>
      </c>
      <c r="AJ456" s="164">
        <f t="shared" si="407"/>
        <v>3697.9924799267815</v>
      </c>
      <c r="AK456" s="164">
        <f t="shared" si="407"/>
        <v>3697.9924799267815</v>
      </c>
      <c r="AL456" s="164">
        <f t="shared" si="407"/>
        <v>3697.9924799267815</v>
      </c>
      <c r="AM456" s="164">
        <f t="shared" si="407"/>
        <v>3697.9924799267815</v>
      </c>
    </row>
    <row r="457" spans="1:39" outlineLevel="1">
      <c r="A457" s="100"/>
      <c r="B457" s="100"/>
      <c r="C457" s="100"/>
      <c r="D457" s="179" t="str">
        <f t="shared" si="403"/>
        <v>Infrastructure</v>
      </c>
      <c r="E457" s="165" t="str">
        <f>H779</f>
        <v>Terminal Domestic - Turbo Prop</v>
      </c>
      <c r="F457" s="165"/>
      <c r="G457" s="165" t="s">
        <v>79</v>
      </c>
      <c r="H457" s="121"/>
      <c r="I457" s="165"/>
      <c r="J457" s="165"/>
      <c r="K457" s="303"/>
      <c r="L457" s="303"/>
      <c r="M457" s="202"/>
      <c r="N457" s="203">
        <f>[2]OUTPUT!N944</f>
        <v>0</v>
      </c>
      <c r="O457" s="197">
        <f t="shared" ref="O457:X457" si="408">N459</f>
        <v>0</v>
      </c>
      <c r="P457" s="164">
        <f t="shared" si="408"/>
        <v>369.79924799267815</v>
      </c>
      <c r="Q457" s="164">
        <f t="shared" si="408"/>
        <v>739.59849598535629</v>
      </c>
      <c r="R457" s="164">
        <f t="shared" si="408"/>
        <v>1109.3977439780344</v>
      </c>
      <c r="S457" s="164">
        <f t="shared" si="408"/>
        <v>1479.1969919707126</v>
      </c>
      <c r="T457" s="164">
        <f t="shared" si="408"/>
        <v>1848.9962399633907</v>
      </c>
      <c r="U457" s="164">
        <f t="shared" si="408"/>
        <v>2218.7954879560689</v>
      </c>
      <c r="V457" s="164">
        <f t="shared" si="408"/>
        <v>2588.5947359487473</v>
      </c>
      <c r="W457" s="164">
        <f t="shared" si="408"/>
        <v>2958.3939839414252</v>
      </c>
      <c r="X457" s="164">
        <f t="shared" si="408"/>
        <v>3328.1932319341031</v>
      </c>
      <c r="Y457" s="164">
        <f t="shared" ref="Y457:AM457" si="409">X459</f>
        <v>3697.992479926781</v>
      </c>
      <c r="Z457" s="164">
        <f t="shared" si="409"/>
        <v>3697.992479926781</v>
      </c>
      <c r="AA457" s="164">
        <f t="shared" si="409"/>
        <v>3697.992479926781</v>
      </c>
      <c r="AB457" s="164">
        <f t="shared" si="409"/>
        <v>3697.992479926781</v>
      </c>
      <c r="AC457" s="164">
        <f t="shared" si="409"/>
        <v>3697.992479926781</v>
      </c>
      <c r="AD457" s="164">
        <f t="shared" si="409"/>
        <v>3697.992479926781</v>
      </c>
      <c r="AE457" s="164">
        <f t="shared" si="409"/>
        <v>3697.992479926781</v>
      </c>
      <c r="AF457" s="164">
        <f t="shared" si="409"/>
        <v>3697.992479926781</v>
      </c>
      <c r="AG457" s="164">
        <f t="shared" si="409"/>
        <v>3697.992479926781</v>
      </c>
      <c r="AH457" s="164">
        <f t="shared" si="409"/>
        <v>3697.992479926781</v>
      </c>
      <c r="AI457" s="164">
        <f t="shared" si="409"/>
        <v>3697.992479926781</v>
      </c>
      <c r="AJ457" s="164">
        <f t="shared" si="409"/>
        <v>3697.992479926781</v>
      </c>
      <c r="AK457" s="164">
        <f t="shared" si="409"/>
        <v>3697.992479926781</v>
      </c>
      <c r="AL457" s="164">
        <f t="shared" si="409"/>
        <v>3697.992479926781</v>
      </c>
      <c r="AM457" s="164">
        <f t="shared" si="409"/>
        <v>3697.992479926781</v>
      </c>
    </row>
    <row r="458" spans="1:39" outlineLevel="1">
      <c r="A458" s="100"/>
      <c r="B458" s="100"/>
      <c r="C458" s="100"/>
      <c r="D458" s="179" t="str">
        <f t="shared" si="403"/>
        <v>Infrastructure</v>
      </c>
      <c r="E458" s="165" t="str">
        <f>H779</f>
        <v>Terminal Domestic - Turbo Prop</v>
      </c>
      <c r="F458" s="165"/>
      <c r="G458" s="165" t="s">
        <v>78</v>
      </c>
      <c r="H458" s="121"/>
      <c r="I458" s="165"/>
      <c r="J458" s="165"/>
      <c r="K458" s="303"/>
      <c r="L458" s="303"/>
      <c r="M458" s="202"/>
      <c r="N458" s="203">
        <f>[2]OUTPUT!N945</f>
        <v>0</v>
      </c>
      <c r="O458" s="197">
        <f>IFERROR(MIN(O455,O456/'Asset base'!O$103),0)</f>
        <v>369.79924799267815</v>
      </c>
      <c r="P458" s="164">
        <f>IFERROR(MIN(P455,P456/'Asset base'!P$103),0)</f>
        <v>369.79924799267815</v>
      </c>
      <c r="Q458" s="164">
        <f>IFERROR(MIN(Q455,Q456/'Asset base'!Q$103),0)</f>
        <v>369.79924799267815</v>
      </c>
      <c r="R458" s="164">
        <f>IFERROR(MIN(R455,R456/'Asset base'!R$103),0)</f>
        <v>369.79924799267815</v>
      </c>
      <c r="S458" s="164">
        <f>IFERROR(MIN(S455,S456/'Asset base'!S$103),0)</f>
        <v>369.79924799267815</v>
      </c>
      <c r="T458" s="164">
        <f>IFERROR(MIN(T455,T456/'Asset base'!T$103),0)</f>
        <v>369.79924799267815</v>
      </c>
      <c r="U458" s="164">
        <f>IFERROR(MIN(U455,U456/'Asset base'!U$103),0)</f>
        <v>369.79924799267815</v>
      </c>
      <c r="V458" s="164">
        <f>IFERROR(MIN(V455,V456/'Asset base'!V$103),0)</f>
        <v>369.79924799267815</v>
      </c>
      <c r="W458" s="164">
        <f>IFERROR(MIN(W455,W456/'Asset base'!W$103),0)</f>
        <v>369.79924799267815</v>
      </c>
      <c r="X458" s="164">
        <f>IFERROR(MIN(X455,X456/'Asset base'!X$103),0)</f>
        <v>369.79924799267815</v>
      </c>
      <c r="Y458" s="164">
        <f>IFERROR(MIN(Y455,Y456/'Asset base'!Y$103),0)</f>
        <v>0</v>
      </c>
      <c r="Z458" s="164">
        <f>IFERROR(MIN(Z455,Z456/'Asset base'!Z$103),0)</f>
        <v>0</v>
      </c>
      <c r="AA458" s="164">
        <f>IFERROR(MIN(AA455,AA456/'Asset base'!AA$103),0)</f>
        <v>0</v>
      </c>
      <c r="AB458" s="164">
        <f>IFERROR(MIN(AB455,AB456/'Asset base'!AB$103),0)</f>
        <v>0</v>
      </c>
      <c r="AC458" s="164">
        <f>IFERROR(MIN(AC455,AC456/'Asset base'!AC$103),0)</f>
        <v>0</v>
      </c>
      <c r="AD458" s="164">
        <f>IFERROR(MIN(AD455,AD456/'Asset base'!AD$103),0)</f>
        <v>0</v>
      </c>
      <c r="AE458" s="164">
        <f>IFERROR(MIN(AE455,AE456/'Asset base'!AE$103),0)</f>
        <v>0</v>
      </c>
      <c r="AF458" s="164">
        <f>IFERROR(MIN(AF455,AF456/'Asset base'!AF$103),0)</f>
        <v>0</v>
      </c>
      <c r="AG458" s="164">
        <f>IFERROR(MIN(AG455,AG456/'Asset base'!AG$103),0)</f>
        <v>0</v>
      </c>
      <c r="AH458" s="164">
        <f>IFERROR(MIN(AH455,AH456/'Asset base'!AH$103),0)</f>
        <v>0</v>
      </c>
      <c r="AI458" s="164">
        <f>IFERROR(MIN(AI455,AI456/'Asset base'!AI$103),0)</f>
        <v>0</v>
      </c>
      <c r="AJ458" s="164">
        <f>IFERROR(MIN(AJ455,AJ456/'Asset base'!AJ$103),0)</f>
        <v>0</v>
      </c>
      <c r="AK458" s="164">
        <f>IFERROR(MIN(AK455,AK456/'Asset base'!AK$103),0)</f>
        <v>0</v>
      </c>
      <c r="AL458" s="164">
        <f>IFERROR(MIN(AL455,AL456/'Asset base'!AL$103),0)</f>
        <v>0</v>
      </c>
      <c r="AM458" s="164">
        <f>IFERROR(MIN(AM455,AM456/'Asset base'!AM$103),0)</f>
        <v>0</v>
      </c>
    </row>
    <row r="459" spans="1:39" outlineLevel="1">
      <c r="A459" s="100"/>
      <c r="B459" s="100"/>
      <c r="C459" s="100"/>
      <c r="D459" s="179" t="str">
        <f t="shared" si="403"/>
        <v>Infrastructure</v>
      </c>
      <c r="E459" s="165" t="str">
        <f>H779</f>
        <v>Terminal Domestic - Turbo Prop</v>
      </c>
      <c r="F459" s="165"/>
      <c r="G459" s="165" t="s">
        <v>77</v>
      </c>
      <c r="H459" s="121"/>
      <c r="I459" s="165"/>
      <c r="J459" s="165"/>
      <c r="K459" s="305"/>
      <c r="L459" s="305"/>
      <c r="M459" s="306"/>
      <c r="N459" s="203">
        <f>[2]OUTPUT!N946</f>
        <v>0</v>
      </c>
      <c r="O459" s="197">
        <f t="shared" ref="O459:X459" si="410">SUM(O457:O458)</f>
        <v>369.79924799267815</v>
      </c>
      <c r="P459" s="164">
        <f t="shared" si="410"/>
        <v>739.59849598535629</v>
      </c>
      <c r="Q459" s="164">
        <f t="shared" si="410"/>
        <v>1109.3977439780344</v>
      </c>
      <c r="R459" s="164">
        <f t="shared" si="410"/>
        <v>1479.1969919707126</v>
      </c>
      <c r="S459" s="164">
        <f t="shared" si="410"/>
        <v>1848.9962399633907</v>
      </c>
      <c r="T459" s="164">
        <f t="shared" si="410"/>
        <v>2218.7954879560689</v>
      </c>
      <c r="U459" s="164">
        <f t="shared" si="410"/>
        <v>2588.5947359487473</v>
      </c>
      <c r="V459" s="164">
        <f t="shared" si="410"/>
        <v>2958.3939839414252</v>
      </c>
      <c r="W459" s="164">
        <f t="shared" si="410"/>
        <v>3328.1932319341031</v>
      </c>
      <c r="X459" s="164">
        <f t="shared" si="410"/>
        <v>3697.992479926781</v>
      </c>
      <c r="Y459" s="164">
        <f>SUM(Y457:Y458)</f>
        <v>3697.992479926781</v>
      </c>
      <c r="Z459" s="164">
        <f t="shared" ref="Z459:AM459" si="411">SUM(Z457:Z458)</f>
        <v>3697.992479926781</v>
      </c>
      <c r="AA459" s="164">
        <f t="shared" si="411"/>
        <v>3697.992479926781</v>
      </c>
      <c r="AB459" s="164">
        <f t="shared" si="411"/>
        <v>3697.992479926781</v>
      </c>
      <c r="AC459" s="164">
        <f t="shared" si="411"/>
        <v>3697.992479926781</v>
      </c>
      <c r="AD459" s="164">
        <f t="shared" si="411"/>
        <v>3697.992479926781</v>
      </c>
      <c r="AE459" s="164">
        <f t="shared" si="411"/>
        <v>3697.992479926781</v>
      </c>
      <c r="AF459" s="164">
        <f t="shared" si="411"/>
        <v>3697.992479926781</v>
      </c>
      <c r="AG459" s="164">
        <f t="shared" si="411"/>
        <v>3697.992479926781</v>
      </c>
      <c r="AH459" s="164">
        <f t="shared" si="411"/>
        <v>3697.992479926781</v>
      </c>
      <c r="AI459" s="164">
        <f t="shared" si="411"/>
        <v>3697.992479926781</v>
      </c>
      <c r="AJ459" s="164">
        <f t="shared" si="411"/>
        <v>3697.992479926781</v>
      </c>
      <c r="AK459" s="164">
        <f t="shared" si="411"/>
        <v>3697.992479926781</v>
      </c>
      <c r="AL459" s="164">
        <f t="shared" si="411"/>
        <v>3697.992479926781</v>
      </c>
      <c r="AM459" s="164">
        <f t="shared" si="411"/>
        <v>3697.992479926781</v>
      </c>
    </row>
    <row r="460" spans="1:39" outlineLevel="1">
      <c r="A460" s="100"/>
      <c r="B460" s="100"/>
      <c r="C460" s="100"/>
      <c r="D460" s="179" t="str">
        <f t="shared" si="403"/>
        <v>Infrastructure</v>
      </c>
      <c r="E460" s="165" t="str">
        <f>H779</f>
        <v>Terminal Domestic - Turbo Prop</v>
      </c>
      <c r="F460" s="165"/>
      <c r="G460" s="200" t="s">
        <v>76</v>
      </c>
      <c r="H460" s="201"/>
      <c r="I460" s="200"/>
      <c r="J460" s="200"/>
      <c r="K460" s="198">
        <f t="shared" ref="K460:S460" si="412">K456-K459</f>
        <v>0</v>
      </c>
      <c r="L460" s="198">
        <f t="shared" si="412"/>
        <v>0</v>
      </c>
      <c r="M460" s="227">
        <f>N455</f>
        <v>0</v>
      </c>
      <c r="N460" s="541">
        <f>'[7]2008-2012 Asset Mov''t Revised'!$AJ$81</f>
        <v>3697.9924799267815</v>
      </c>
      <c r="O460" s="199">
        <f t="shared" si="412"/>
        <v>3328.1932319341031</v>
      </c>
      <c r="P460" s="198">
        <f t="shared" si="412"/>
        <v>2958.3939839414252</v>
      </c>
      <c r="Q460" s="198">
        <f t="shared" si="412"/>
        <v>2588.5947359487473</v>
      </c>
      <c r="R460" s="198">
        <f t="shared" si="412"/>
        <v>2218.7954879560689</v>
      </c>
      <c r="S460" s="198">
        <f t="shared" si="412"/>
        <v>1848.9962399633907</v>
      </c>
      <c r="T460" s="198">
        <f t="shared" ref="T460:AM460" si="413">T456-T459</f>
        <v>1479.1969919707126</v>
      </c>
      <c r="U460" s="198">
        <f t="shared" si="413"/>
        <v>1109.3977439780342</v>
      </c>
      <c r="V460" s="198">
        <f t="shared" si="413"/>
        <v>739.59849598535629</v>
      </c>
      <c r="W460" s="198">
        <f t="shared" si="413"/>
        <v>369.79924799267837</v>
      </c>
      <c r="X460" s="198">
        <f t="shared" si="413"/>
        <v>0</v>
      </c>
      <c r="Y460" s="198">
        <f t="shared" si="413"/>
        <v>0</v>
      </c>
      <c r="Z460" s="198">
        <f t="shared" si="413"/>
        <v>0</v>
      </c>
      <c r="AA460" s="198">
        <f t="shared" si="413"/>
        <v>0</v>
      </c>
      <c r="AB460" s="198">
        <f t="shared" si="413"/>
        <v>0</v>
      </c>
      <c r="AC460" s="198">
        <f t="shared" si="413"/>
        <v>0</v>
      </c>
      <c r="AD460" s="198">
        <f t="shared" si="413"/>
        <v>0</v>
      </c>
      <c r="AE460" s="198">
        <f t="shared" si="413"/>
        <v>0</v>
      </c>
      <c r="AF460" s="198">
        <f t="shared" si="413"/>
        <v>0</v>
      </c>
      <c r="AG460" s="198">
        <f t="shared" si="413"/>
        <v>0</v>
      </c>
      <c r="AH460" s="198">
        <f t="shared" si="413"/>
        <v>0</v>
      </c>
      <c r="AI460" s="198">
        <f t="shared" si="413"/>
        <v>0</v>
      </c>
      <c r="AJ460" s="198">
        <f t="shared" si="413"/>
        <v>0</v>
      </c>
      <c r="AK460" s="198">
        <f t="shared" si="413"/>
        <v>0</v>
      </c>
      <c r="AL460" s="198">
        <f t="shared" si="413"/>
        <v>0</v>
      </c>
      <c r="AM460" s="198">
        <f t="shared" si="413"/>
        <v>0</v>
      </c>
    </row>
    <row r="461" spans="1:39" outlineLevel="1">
      <c r="A461" s="100"/>
      <c r="B461" s="100"/>
      <c r="C461" s="100"/>
      <c r="D461" s="179"/>
      <c r="E461" s="165"/>
      <c r="F461" s="165"/>
      <c r="G461" s="165"/>
      <c r="H461" s="121"/>
      <c r="I461" s="165"/>
      <c r="J461" s="165"/>
      <c r="K461" s="164"/>
      <c r="L461" s="164"/>
      <c r="M461" s="227"/>
      <c r="N461" s="203"/>
      <c r="O461" s="197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</row>
    <row r="462" spans="1:39" outlineLevel="1">
      <c r="A462" s="100"/>
      <c r="B462" s="100"/>
      <c r="C462" s="100"/>
      <c r="D462" s="179"/>
      <c r="E462" s="165"/>
      <c r="F462" s="165"/>
      <c r="G462" s="206" t="str">
        <f>G844</f>
        <v>Terminal facilities</v>
      </c>
      <c r="H462" s="121"/>
      <c r="I462" s="165"/>
      <c r="J462" s="165"/>
      <c r="K462" s="207"/>
      <c r="L462" s="164"/>
      <c r="M462" s="227"/>
      <c r="N462" s="203"/>
      <c r="O462" s="197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</row>
    <row r="463" spans="1:39" outlineLevel="1">
      <c r="A463" s="100"/>
      <c r="B463" s="100"/>
      <c r="C463" s="100"/>
      <c r="D463" s="179"/>
      <c r="E463" s="165"/>
      <c r="F463" s="165"/>
      <c r="G463" s="205"/>
      <c r="H463" s="121"/>
      <c r="I463" s="165"/>
      <c r="J463" s="165"/>
      <c r="K463" s="207"/>
      <c r="L463" s="164"/>
      <c r="M463" s="227"/>
      <c r="N463" s="203"/>
      <c r="O463" s="197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</row>
    <row r="464" spans="1:39" outlineLevel="1">
      <c r="A464" s="100"/>
      <c r="B464" s="100"/>
      <c r="C464" s="100"/>
      <c r="D464" s="179" t="str">
        <f t="shared" ref="D464:D469" si="414">$G$563</f>
        <v>Terminal facilities</v>
      </c>
      <c r="E464" s="165" t="str">
        <f>H779</f>
        <v>Terminal Domestic - Turbo Prop</v>
      </c>
      <c r="F464" s="165"/>
      <c r="G464" s="165" t="s">
        <v>80</v>
      </c>
      <c r="H464" s="121"/>
      <c r="I464" s="165"/>
      <c r="J464" s="165"/>
      <c r="K464" s="164"/>
      <c r="L464" s="164"/>
      <c r="M464" s="227"/>
      <c r="N464" s="203"/>
      <c r="O464" s="197">
        <f t="shared" ref="O464:X464" si="415">N469</f>
        <v>12658555.244039794</v>
      </c>
      <c r="P464" s="164">
        <f t="shared" si="415"/>
        <v>12189719.864630913</v>
      </c>
      <c r="Q464" s="164">
        <f t="shared" si="415"/>
        <v>11720884.485222032</v>
      </c>
      <c r="R464" s="164">
        <f t="shared" si="415"/>
        <v>11252049.105813151</v>
      </c>
      <c r="S464" s="164">
        <f t="shared" si="415"/>
        <v>10783213.726404268</v>
      </c>
      <c r="T464" s="164">
        <f t="shared" si="415"/>
        <v>10314378.346995387</v>
      </c>
      <c r="U464" s="164">
        <f t="shared" si="415"/>
        <v>9845542.9675865062</v>
      </c>
      <c r="V464" s="164">
        <f t="shared" si="415"/>
        <v>9376707.5881776251</v>
      </c>
      <c r="W464" s="164">
        <f t="shared" si="415"/>
        <v>8907872.208768744</v>
      </c>
      <c r="X464" s="164">
        <f t="shared" si="415"/>
        <v>8439036.829359863</v>
      </c>
      <c r="Y464" s="164">
        <f t="shared" ref="Y464:AM464" si="416">X469</f>
        <v>7970201.4499509828</v>
      </c>
      <c r="Z464" s="164">
        <f t="shared" si="416"/>
        <v>7501366.0705421017</v>
      </c>
      <c r="AA464" s="164">
        <f t="shared" si="416"/>
        <v>7032530.6911332207</v>
      </c>
      <c r="AB464" s="164">
        <f t="shared" si="416"/>
        <v>6563695.3117243396</v>
      </c>
      <c r="AC464" s="164">
        <f t="shared" si="416"/>
        <v>6094859.9323154585</v>
      </c>
      <c r="AD464" s="164">
        <f t="shared" si="416"/>
        <v>5626024.5529065775</v>
      </c>
      <c r="AE464" s="164">
        <f t="shared" si="416"/>
        <v>5157189.1734976964</v>
      </c>
      <c r="AF464" s="164">
        <f t="shared" si="416"/>
        <v>4688353.7940888153</v>
      </c>
      <c r="AG464" s="164">
        <f t="shared" si="416"/>
        <v>4219518.4146799333</v>
      </c>
      <c r="AH464" s="164">
        <f t="shared" si="416"/>
        <v>3750683.0352710523</v>
      </c>
      <c r="AI464" s="164">
        <f t="shared" si="416"/>
        <v>3281847.6558621712</v>
      </c>
      <c r="AJ464" s="164">
        <f t="shared" si="416"/>
        <v>2813012.2764532901</v>
      </c>
      <c r="AK464" s="164">
        <f t="shared" si="416"/>
        <v>2344176.8970444091</v>
      </c>
      <c r="AL464" s="164">
        <f t="shared" si="416"/>
        <v>1875341.517635528</v>
      </c>
      <c r="AM464" s="164">
        <f t="shared" si="416"/>
        <v>1406506.1382266469</v>
      </c>
    </row>
    <row r="465" spans="1:39" outlineLevel="1">
      <c r="A465" s="100"/>
      <c r="B465" s="100"/>
      <c r="C465" s="100"/>
      <c r="D465" s="179" t="str">
        <f t="shared" si="414"/>
        <v>Terminal facilities</v>
      </c>
      <c r="E465" s="165" t="str">
        <f>H779</f>
        <v>Terminal Domestic - Turbo Prop</v>
      </c>
      <c r="F465" s="165"/>
      <c r="G465" s="165" t="s">
        <v>60</v>
      </c>
      <c r="H465" s="121"/>
      <c r="I465" s="165"/>
      <c r="J465" s="165"/>
      <c r="K465" s="303"/>
      <c r="L465" s="303"/>
      <c r="M465" s="304"/>
      <c r="N465" s="203"/>
      <c r="O465" s="197">
        <f>N469</f>
        <v>12658555.244039794</v>
      </c>
      <c r="P465" s="164">
        <f t="shared" ref="P465:X465" si="417">O465</f>
        <v>12658555.244039794</v>
      </c>
      <c r="Q465" s="164">
        <f t="shared" si="417"/>
        <v>12658555.244039794</v>
      </c>
      <c r="R465" s="164">
        <f t="shared" si="417"/>
        <v>12658555.244039794</v>
      </c>
      <c r="S465" s="164">
        <f t="shared" si="417"/>
        <v>12658555.244039794</v>
      </c>
      <c r="T465" s="164">
        <f t="shared" si="417"/>
        <v>12658555.244039794</v>
      </c>
      <c r="U465" s="164">
        <f t="shared" si="417"/>
        <v>12658555.244039794</v>
      </c>
      <c r="V465" s="164">
        <f t="shared" si="417"/>
        <v>12658555.244039794</v>
      </c>
      <c r="W465" s="164">
        <f t="shared" si="417"/>
        <v>12658555.244039794</v>
      </c>
      <c r="X465" s="164">
        <f t="shared" si="417"/>
        <v>12658555.244039794</v>
      </c>
      <c r="Y465" s="164">
        <f t="shared" ref="Y465:AM465" si="418">X465</f>
        <v>12658555.244039794</v>
      </c>
      <c r="Z465" s="164">
        <f t="shared" si="418"/>
        <v>12658555.244039794</v>
      </c>
      <c r="AA465" s="164">
        <f t="shared" si="418"/>
        <v>12658555.244039794</v>
      </c>
      <c r="AB465" s="164">
        <f t="shared" si="418"/>
        <v>12658555.244039794</v>
      </c>
      <c r="AC465" s="164">
        <f t="shared" si="418"/>
        <v>12658555.244039794</v>
      </c>
      <c r="AD465" s="164">
        <f t="shared" si="418"/>
        <v>12658555.244039794</v>
      </c>
      <c r="AE465" s="164">
        <f t="shared" si="418"/>
        <v>12658555.244039794</v>
      </c>
      <c r="AF465" s="164">
        <f t="shared" si="418"/>
        <v>12658555.244039794</v>
      </c>
      <c r="AG465" s="164">
        <f t="shared" si="418"/>
        <v>12658555.244039794</v>
      </c>
      <c r="AH465" s="164">
        <f t="shared" si="418"/>
        <v>12658555.244039794</v>
      </c>
      <c r="AI465" s="164">
        <f t="shared" si="418"/>
        <v>12658555.244039794</v>
      </c>
      <c r="AJ465" s="164">
        <f t="shared" si="418"/>
        <v>12658555.244039794</v>
      </c>
      <c r="AK465" s="164">
        <f t="shared" si="418"/>
        <v>12658555.244039794</v>
      </c>
      <c r="AL465" s="164">
        <f t="shared" si="418"/>
        <v>12658555.244039794</v>
      </c>
      <c r="AM465" s="164">
        <f t="shared" si="418"/>
        <v>12658555.244039794</v>
      </c>
    </row>
    <row r="466" spans="1:39" outlineLevel="1">
      <c r="A466" s="100"/>
      <c r="B466" s="100"/>
      <c r="C466" s="100"/>
      <c r="D466" s="179" t="str">
        <f t="shared" si="414"/>
        <v>Terminal facilities</v>
      </c>
      <c r="E466" s="165" t="str">
        <f>H779</f>
        <v>Terminal Domestic - Turbo Prop</v>
      </c>
      <c r="F466" s="165"/>
      <c r="G466" s="165" t="s">
        <v>79</v>
      </c>
      <c r="H466" s="121"/>
      <c r="I466" s="165"/>
      <c r="J466" s="165"/>
      <c r="K466" s="303"/>
      <c r="L466" s="303"/>
      <c r="M466" s="202"/>
      <c r="N466" s="203">
        <v>0</v>
      </c>
      <c r="O466" s="197">
        <f t="shared" ref="O466:X466" si="419">N468</f>
        <v>0</v>
      </c>
      <c r="P466" s="164">
        <f t="shared" si="419"/>
        <v>468835.3794088813</v>
      </c>
      <c r="Q466" s="164">
        <f t="shared" si="419"/>
        <v>937670.7588177626</v>
      </c>
      <c r="R466" s="164">
        <f t="shared" si="419"/>
        <v>1406506.1382266439</v>
      </c>
      <c r="S466" s="164">
        <f t="shared" si="419"/>
        <v>1875341.5176355252</v>
      </c>
      <c r="T466" s="164">
        <f t="shared" si="419"/>
        <v>2344176.8970444063</v>
      </c>
      <c r="U466" s="164">
        <f t="shared" si="419"/>
        <v>2813012.2764532873</v>
      </c>
      <c r="V466" s="164">
        <f t="shared" si="419"/>
        <v>3281847.6558621684</v>
      </c>
      <c r="W466" s="164">
        <f t="shared" si="419"/>
        <v>3750683.0352710495</v>
      </c>
      <c r="X466" s="164">
        <f t="shared" si="419"/>
        <v>4219518.4146799305</v>
      </c>
      <c r="Y466" s="164">
        <f t="shared" ref="Y466:AM466" si="420">X468</f>
        <v>4688353.7940888116</v>
      </c>
      <c r="Z466" s="164">
        <f t="shared" si="420"/>
        <v>5157189.1734976927</v>
      </c>
      <c r="AA466" s="164">
        <f t="shared" si="420"/>
        <v>5626024.5529065738</v>
      </c>
      <c r="AB466" s="164">
        <f t="shared" si="420"/>
        <v>6094859.9323154548</v>
      </c>
      <c r="AC466" s="164">
        <f t="shared" si="420"/>
        <v>6563695.3117243359</v>
      </c>
      <c r="AD466" s="164">
        <f t="shared" si="420"/>
        <v>7032530.691133217</v>
      </c>
      <c r="AE466" s="164">
        <f t="shared" si="420"/>
        <v>7501366.070542098</v>
      </c>
      <c r="AF466" s="164">
        <f t="shared" si="420"/>
        <v>7970201.4499509791</v>
      </c>
      <c r="AG466" s="164">
        <f t="shared" si="420"/>
        <v>8439036.8293598611</v>
      </c>
      <c r="AH466" s="164">
        <f t="shared" si="420"/>
        <v>8907872.2087687422</v>
      </c>
      <c r="AI466" s="164">
        <f t="shared" si="420"/>
        <v>9376707.5881776232</v>
      </c>
      <c r="AJ466" s="164">
        <f t="shared" si="420"/>
        <v>9845542.9675865043</v>
      </c>
      <c r="AK466" s="164">
        <f t="shared" si="420"/>
        <v>10314378.346995385</v>
      </c>
      <c r="AL466" s="164">
        <f t="shared" si="420"/>
        <v>10783213.726404266</v>
      </c>
      <c r="AM466" s="164">
        <f t="shared" si="420"/>
        <v>11252049.105813148</v>
      </c>
    </row>
    <row r="467" spans="1:39" outlineLevel="1">
      <c r="A467" s="100"/>
      <c r="B467" s="100"/>
      <c r="C467" s="100"/>
      <c r="D467" s="179" t="str">
        <f t="shared" si="414"/>
        <v>Terminal facilities</v>
      </c>
      <c r="E467" s="165" t="str">
        <f>H779</f>
        <v>Terminal Domestic - Turbo Prop</v>
      </c>
      <c r="F467" s="165"/>
      <c r="G467" s="165" t="s">
        <v>78</v>
      </c>
      <c r="H467" s="121"/>
      <c r="I467" s="165"/>
      <c r="J467" s="165"/>
      <c r="K467" s="303"/>
      <c r="L467" s="303"/>
      <c r="M467" s="202"/>
      <c r="N467" s="203">
        <v>0</v>
      </c>
      <c r="O467" s="197">
        <f>IFERROR(MIN(O464,O465/'Asset base'!O$104),0)</f>
        <v>468835.3794088813</v>
      </c>
      <c r="P467" s="164">
        <f>IFERROR(MIN(P464,P465/'Asset base'!P$104),0)</f>
        <v>468835.3794088813</v>
      </c>
      <c r="Q467" s="164">
        <f>IFERROR(MIN(Q464,Q465/'Asset base'!Q$104),0)</f>
        <v>468835.3794088813</v>
      </c>
      <c r="R467" s="164">
        <f>IFERROR(MIN(R464,R465/'Asset base'!R$104),0)</f>
        <v>468835.3794088813</v>
      </c>
      <c r="S467" s="164">
        <f>IFERROR(MIN(S464,S465/'Asset base'!S$104),0)</f>
        <v>468835.3794088813</v>
      </c>
      <c r="T467" s="164">
        <f>IFERROR(MIN(T464,T465/'Asset base'!T$104),0)</f>
        <v>468835.3794088813</v>
      </c>
      <c r="U467" s="164">
        <f>IFERROR(MIN(U464,U465/'Asset base'!U$104),0)</f>
        <v>468835.3794088813</v>
      </c>
      <c r="V467" s="164">
        <f>IFERROR(MIN(V464,V465/'Asset base'!V$104),0)</f>
        <v>468835.3794088813</v>
      </c>
      <c r="W467" s="164">
        <f>IFERROR(MIN(W464,W465/'Asset base'!W$104),0)</f>
        <v>468835.3794088813</v>
      </c>
      <c r="X467" s="164">
        <f>IFERROR(MIN(X464,X465/'Asset base'!X$104),0)</f>
        <v>468835.3794088813</v>
      </c>
      <c r="Y467" s="164">
        <f>IFERROR(MIN(Y464,Y465/'Asset base'!Y$104),0)</f>
        <v>468835.3794088813</v>
      </c>
      <c r="Z467" s="164">
        <f>IFERROR(MIN(Z464,Z465/'Asset base'!Z$104),0)</f>
        <v>468835.3794088813</v>
      </c>
      <c r="AA467" s="164">
        <f>IFERROR(MIN(AA464,AA465/'Asset base'!AA$104),0)</f>
        <v>468835.3794088813</v>
      </c>
      <c r="AB467" s="164">
        <f>IFERROR(MIN(AB464,AB465/'Asset base'!AB$104),0)</f>
        <v>468835.3794088813</v>
      </c>
      <c r="AC467" s="164">
        <f>IFERROR(MIN(AC464,AC465/'Asset base'!AC$104),0)</f>
        <v>468835.3794088813</v>
      </c>
      <c r="AD467" s="164">
        <f>IFERROR(MIN(AD464,AD465/'Asset base'!AD$104),0)</f>
        <v>468835.3794088813</v>
      </c>
      <c r="AE467" s="164">
        <f>IFERROR(MIN(AE464,AE465/'Asset base'!AE$104),0)</f>
        <v>468835.3794088813</v>
      </c>
      <c r="AF467" s="164">
        <f>IFERROR(MIN(AF464,AF465/'Asset base'!AF$104),0)</f>
        <v>468835.3794088813</v>
      </c>
      <c r="AG467" s="164">
        <f>IFERROR(MIN(AG464,AG465/'Asset base'!AG$104),0)</f>
        <v>468835.3794088813</v>
      </c>
      <c r="AH467" s="164">
        <f>IFERROR(MIN(AH464,AH465/'Asset base'!AH$104),0)</f>
        <v>468835.3794088813</v>
      </c>
      <c r="AI467" s="164">
        <f>IFERROR(MIN(AI464,AI465/'Asset base'!AI$104),0)</f>
        <v>468835.3794088813</v>
      </c>
      <c r="AJ467" s="164">
        <f>IFERROR(MIN(AJ464,AJ465/'Asset base'!AJ$104),0)</f>
        <v>468835.3794088813</v>
      </c>
      <c r="AK467" s="164">
        <f>IFERROR(MIN(AK464,AK465/'Asset base'!AK$104),0)</f>
        <v>468835.3794088813</v>
      </c>
      <c r="AL467" s="164">
        <f>IFERROR(MIN(AL464,AL465/'Asset base'!AL$104),0)</f>
        <v>468835.3794088813</v>
      </c>
      <c r="AM467" s="164">
        <f>IFERROR(MIN(AM464,AM465/'Asset base'!AM$104),0)</f>
        <v>468835.3794088813</v>
      </c>
    </row>
    <row r="468" spans="1:39" outlineLevel="1">
      <c r="A468" s="100"/>
      <c r="B468" s="100"/>
      <c r="C468" s="100"/>
      <c r="D468" s="179" t="str">
        <f t="shared" si="414"/>
        <v>Terminal facilities</v>
      </c>
      <c r="E468" s="165" t="str">
        <f>H779</f>
        <v>Terminal Domestic - Turbo Prop</v>
      </c>
      <c r="F468" s="165"/>
      <c r="G468" s="165" t="s">
        <v>77</v>
      </c>
      <c r="H468" s="121"/>
      <c r="I468" s="165"/>
      <c r="J468" s="165"/>
      <c r="K468" s="305"/>
      <c r="L468" s="305"/>
      <c r="M468" s="306"/>
      <c r="N468" s="203">
        <v>0</v>
      </c>
      <c r="O468" s="197">
        <f t="shared" ref="O468:X468" si="421">SUM(O466:O467)</f>
        <v>468835.3794088813</v>
      </c>
      <c r="P468" s="164">
        <f t="shared" si="421"/>
        <v>937670.7588177626</v>
      </c>
      <c r="Q468" s="164">
        <f t="shared" si="421"/>
        <v>1406506.1382266439</v>
      </c>
      <c r="R468" s="164">
        <f t="shared" si="421"/>
        <v>1875341.5176355252</v>
      </c>
      <c r="S468" s="164">
        <f t="shared" si="421"/>
        <v>2344176.8970444063</v>
      </c>
      <c r="T468" s="164">
        <f t="shared" si="421"/>
        <v>2813012.2764532873</v>
      </c>
      <c r="U468" s="164">
        <f t="shared" si="421"/>
        <v>3281847.6558621684</v>
      </c>
      <c r="V468" s="164">
        <f t="shared" si="421"/>
        <v>3750683.0352710495</v>
      </c>
      <c r="W468" s="164">
        <f t="shared" si="421"/>
        <v>4219518.4146799305</v>
      </c>
      <c r="X468" s="164">
        <f t="shared" si="421"/>
        <v>4688353.7940888116</v>
      </c>
      <c r="Y468" s="164">
        <f>SUM(Y466:Y467)</f>
        <v>5157189.1734976927</v>
      </c>
      <c r="Z468" s="164">
        <f t="shared" ref="Z468:AM468" si="422">SUM(Z466:Z467)</f>
        <v>5626024.5529065738</v>
      </c>
      <c r="AA468" s="164">
        <f t="shared" si="422"/>
        <v>6094859.9323154548</v>
      </c>
      <c r="AB468" s="164">
        <f t="shared" si="422"/>
        <v>6563695.3117243359</v>
      </c>
      <c r="AC468" s="164">
        <f t="shared" si="422"/>
        <v>7032530.691133217</v>
      </c>
      <c r="AD468" s="164">
        <f t="shared" si="422"/>
        <v>7501366.070542098</v>
      </c>
      <c r="AE468" s="164">
        <f t="shared" si="422"/>
        <v>7970201.4499509791</v>
      </c>
      <c r="AF468" s="164">
        <f t="shared" si="422"/>
        <v>8439036.8293598611</v>
      </c>
      <c r="AG468" s="164">
        <f t="shared" si="422"/>
        <v>8907872.2087687422</v>
      </c>
      <c r="AH468" s="164">
        <f t="shared" si="422"/>
        <v>9376707.5881776232</v>
      </c>
      <c r="AI468" s="164">
        <f t="shared" si="422"/>
        <v>9845542.9675865043</v>
      </c>
      <c r="AJ468" s="164">
        <f t="shared" si="422"/>
        <v>10314378.346995385</v>
      </c>
      <c r="AK468" s="164">
        <f t="shared" si="422"/>
        <v>10783213.726404266</v>
      </c>
      <c r="AL468" s="164">
        <f t="shared" si="422"/>
        <v>11252049.105813148</v>
      </c>
      <c r="AM468" s="164">
        <f t="shared" si="422"/>
        <v>11720884.485222029</v>
      </c>
    </row>
    <row r="469" spans="1:39" outlineLevel="1">
      <c r="A469" s="100"/>
      <c r="B469" s="100"/>
      <c r="C469" s="100"/>
      <c r="D469" s="179" t="str">
        <f t="shared" si="414"/>
        <v>Terminal facilities</v>
      </c>
      <c r="E469" s="165" t="str">
        <f>H779</f>
        <v>Terminal Domestic - Turbo Prop</v>
      </c>
      <c r="F469" s="165"/>
      <c r="G469" s="200" t="s">
        <v>76</v>
      </c>
      <c r="H469" s="201"/>
      <c r="I469" s="200"/>
      <c r="J469" s="200"/>
      <c r="K469" s="198">
        <f t="shared" ref="K469:S469" si="423">K465-K468</f>
        <v>0</v>
      </c>
      <c r="L469" s="198">
        <f t="shared" si="423"/>
        <v>0</v>
      </c>
      <c r="M469" s="227">
        <f>N464</f>
        <v>0</v>
      </c>
      <c r="N469" s="661">
        <f>'[7]2008-2012 Asset Mov''t Revised'!$AJ$82-16000</f>
        <v>12658555.244039794</v>
      </c>
      <c r="O469" s="199">
        <f t="shared" si="423"/>
        <v>12189719.864630913</v>
      </c>
      <c r="P469" s="198">
        <f t="shared" si="423"/>
        <v>11720884.485222032</v>
      </c>
      <c r="Q469" s="198">
        <f t="shared" si="423"/>
        <v>11252049.105813151</v>
      </c>
      <c r="R469" s="198">
        <f t="shared" si="423"/>
        <v>10783213.726404268</v>
      </c>
      <c r="S469" s="198">
        <f t="shared" si="423"/>
        <v>10314378.346995387</v>
      </c>
      <c r="T469" s="198">
        <f t="shared" ref="T469:AM469" si="424">T465-T468</f>
        <v>9845542.9675865062</v>
      </c>
      <c r="U469" s="198">
        <f t="shared" si="424"/>
        <v>9376707.5881776251</v>
      </c>
      <c r="V469" s="198">
        <f t="shared" si="424"/>
        <v>8907872.208768744</v>
      </c>
      <c r="W469" s="198">
        <f t="shared" si="424"/>
        <v>8439036.829359863</v>
      </c>
      <c r="X469" s="198">
        <f t="shared" si="424"/>
        <v>7970201.4499509828</v>
      </c>
      <c r="Y469" s="198">
        <f t="shared" si="424"/>
        <v>7501366.0705421017</v>
      </c>
      <c r="Z469" s="198">
        <f t="shared" si="424"/>
        <v>7032530.6911332207</v>
      </c>
      <c r="AA469" s="198">
        <f t="shared" si="424"/>
        <v>6563695.3117243396</v>
      </c>
      <c r="AB469" s="198">
        <f t="shared" si="424"/>
        <v>6094859.9323154585</v>
      </c>
      <c r="AC469" s="198">
        <f t="shared" si="424"/>
        <v>5626024.5529065775</v>
      </c>
      <c r="AD469" s="198">
        <f t="shared" si="424"/>
        <v>5157189.1734976964</v>
      </c>
      <c r="AE469" s="198">
        <f t="shared" si="424"/>
        <v>4688353.7940888153</v>
      </c>
      <c r="AF469" s="198">
        <f t="shared" si="424"/>
        <v>4219518.4146799333</v>
      </c>
      <c r="AG469" s="198">
        <f t="shared" si="424"/>
        <v>3750683.0352710523</v>
      </c>
      <c r="AH469" s="198">
        <f t="shared" si="424"/>
        <v>3281847.6558621712</v>
      </c>
      <c r="AI469" s="198">
        <f t="shared" si="424"/>
        <v>2813012.2764532901</v>
      </c>
      <c r="AJ469" s="198">
        <f t="shared" si="424"/>
        <v>2344176.8970444091</v>
      </c>
      <c r="AK469" s="198">
        <f t="shared" si="424"/>
        <v>1875341.517635528</v>
      </c>
      <c r="AL469" s="198">
        <f t="shared" si="424"/>
        <v>1406506.1382266469</v>
      </c>
      <c r="AM469" s="198">
        <f t="shared" si="424"/>
        <v>937670.75881776586</v>
      </c>
    </row>
    <row r="470" spans="1:39" outlineLevel="1">
      <c r="A470" s="100"/>
      <c r="B470" s="100"/>
      <c r="C470" s="100"/>
      <c r="D470" s="179"/>
      <c r="E470" s="165"/>
      <c r="F470" s="165"/>
      <c r="G470" s="165"/>
      <c r="H470" s="121"/>
      <c r="I470" s="165"/>
      <c r="J470" s="165"/>
      <c r="K470" s="164"/>
      <c r="L470" s="164"/>
      <c r="M470" s="227"/>
      <c r="N470" s="203"/>
      <c r="O470" s="197"/>
      <c r="P470" s="164"/>
      <c r="Q470" s="164"/>
      <c r="R470" s="164"/>
      <c r="S470" s="164"/>
      <c r="T470" s="164"/>
      <c r="U470" s="164"/>
      <c r="V470" s="164"/>
      <c r="W470" s="164"/>
      <c r="X470" s="164"/>
      <c r="Y470" s="164"/>
      <c r="Z470" s="164"/>
      <c r="AA470" s="164"/>
      <c r="AB470" s="164"/>
      <c r="AC470" s="164"/>
      <c r="AD470" s="164"/>
      <c r="AE470" s="164"/>
      <c r="AF470" s="164"/>
      <c r="AG470" s="164"/>
      <c r="AH470" s="164"/>
      <c r="AI470" s="164"/>
      <c r="AJ470" s="164"/>
      <c r="AK470" s="164"/>
      <c r="AL470" s="164"/>
      <c r="AM470" s="164"/>
    </row>
    <row r="471" spans="1:39" outlineLevel="1">
      <c r="A471" s="100"/>
      <c r="B471" s="100"/>
      <c r="C471" s="100"/>
      <c r="D471" s="179"/>
      <c r="E471" s="165"/>
      <c r="F471" s="165"/>
      <c r="G471" s="206" t="str">
        <f>G853</f>
        <v>Car parking</v>
      </c>
      <c r="H471" s="121"/>
      <c r="I471" s="165"/>
      <c r="J471" s="165"/>
      <c r="K471" s="207"/>
      <c r="L471" s="164"/>
      <c r="M471" s="227"/>
      <c r="N471" s="203"/>
      <c r="O471" s="197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  <c r="AA471" s="165"/>
      <c r="AB471" s="165"/>
      <c r="AC471" s="165"/>
      <c r="AD471" s="165"/>
      <c r="AE471" s="165"/>
      <c r="AF471" s="165"/>
      <c r="AG471" s="165"/>
      <c r="AH471" s="165"/>
      <c r="AI471" s="165"/>
      <c r="AJ471" s="165"/>
      <c r="AK471" s="165"/>
      <c r="AL471" s="165"/>
      <c r="AM471" s="165"/>
    </row>
    <row r="472" spans="1:39" outlineLevel="1">
      <c r="A472" s="100"/>
      <c r="B472" s="100"/>
      <c r="C472" s="100"/>
      <c r="D472" s="179"/>
      <c r="E472" s="165"/>
      <c r="F472" s="165"/>
      <c r="G472" s="205"/>
      <c r="H472" s="121"/>
      <c r="I472" s="165"/>
      <c r="J472" s="165"/>
      <c r="K472" s="207"/>
      <c r="L472" s="164"/>
      <c r="M472" s="227"/>
      <c r="N472" s="203"/>
      <c r="O472" s="197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  <c r="AA472" s="165"/>
      <c r="AB472" s="165"/>
      <c r="AC472" s="165"/>
      <c r="AD472" s="165"/>
      <c r="AE472" s="165"/>
      <c r="AF472" s="165"/>
      <c r="AG472" s="165"/>
      <c r="AH472" s="165"/>
      <c r="AI472" s="165"/>
      <c r="AJ472" s="165"/>
      <c r="AK472" s="165"/>
      <c r="AL472" s="165"/>
      <c r="AM472" s="165"/>
    </row>
    <row r="473" spans="1:39" outlineLevel="1">
      <c r="A473" s="100"/>
      <c r="B473" s="100"/>
      <c r="C473" s="100"/>
      <c r="D473" s="179" t="str">
        <f t="shared" ref="D473:D478" si="425">$G$572</f>
        <v>Car parking</v>
      </c>
      <c r="E473" s="165" t="str">
        <f>H779</f>
        <v>Terminal Domestic - Turbo Prop</v>
      </c>
      <c r="F473" s="165"/>
      <c r="G473" s="165" t="s">
        <v>80</v>
      </c>
      <c r="H473" s="121"/>
      <c r="I473" s="165"/>
      <c r="J473" s="165"/>
      <c r="K473" s="164"/>
      <c r="L473" s="164"/>
      <c r="M473" s="227"/>
      <c r="N473" s="203">
        <f>[2]OUTPUT!N960</f>
        <v>0</v>
      </c>
      <c r="O473" s="197">
        <f t="shared" ref="O473:X473" si="426">N478</f>
        <v>0</v>
      </c>
      <c r="P473" s="164">
        <f t="shared" si="426"/>
        <v>0</v>
      </c>
      <c r="Q473" s="164">
        <f t="shared" si="426"/>
        <v>0</v>
      </c>
      <c r="R473" s="164">
        <f t="shared" si="426"/>
        <v>0</v>
      </c>
      <c r="S473" s="164">
        <f t="shared" si="426"/>
        <v>0</v>
      </c>
      <c r="T473" s="164">
        <f t="shared" si="426"/>
        <v>0</v>
      </c>
      <c r="U473" s="164">
        <f t="shared" si="426"/>
        <v>0</v>
      </c>
      <c r="V473" s="164">
        <f t="shared" si="426"/>
        <v>0</v>
      </c>
      <c r="W473" s="164">
        <f t="shared" si="426"/>
        <v>0</v>
      </c>
      <c r="X473" s="164">
        <f t="shared" si="426"/>
        <v>0</v>
      </c>
      <c r="Y473" s="164">
        <f t="shared" ref="Y473:AM473" si="427">X478</f>
        <v>0</v>
      </c>
      <c r="Z473" s="164">
        <f t="shared" si="427"/>
        <v>0</v>
      </c>
      <c r="AA473" s="164">
        <f t="shared" si="427"/>
        <v>0</v>
      </c>
      <c r="AB473" s="164">
        <f t="shared" si="427"/>
        <v>0</v>
      </c>
      <c r="AC473" s="164">
        <f t="shared" si="427"/>
        <v>0</v>
      </c>
      <c r="AD473" s="164">
        <f t="shared" si="427"/>
        <v>0</v>
      </c>
      <c r="AE473" s="164">
        <f t="shared" si="427"/>
        <v>0</v>
      </c>
      <c r="AF473" s="164">
        <f t="shared" si="427"/>
        <v>0</v>
      </c>
      <c r="AG473" s="164">
        <f t="shared" si="427"/>
        <v>0</v>
      </c>
      <c r="AH473" s="164">
        <f t="shared" si="427"/>
        <v>0</v>
      </c>
      <c r="AI473" s="164">
        <f t="shared" si="427"/>
        <v>0</v>
      </c>
      <c r="AJ473" s="164">
        <f t="shared" si="427"/>
        <v>0</v>
      </c>
      <c r="AK473" s="164">
        <f t="shared" si="427"/>
        <v>0</v>
      </c>
      <c r="AL473" s="164">
        <f t="shared" si="427"/>
        <v>0</v>
      </c>
      <c r="AM473" s="164">
        <f t="shared" si="427"/>
        <v>0</v>
      </c>
    </row>
    <row r="474" spans="1:39" outlineLevel="1">
      <c r="A474" s="100"/>
      <c r="B474" s="100"/>
      <c r="C474" s="100"/>
      <c r="D474" s="179" t="str">
        <f t="shared" si="425"/>
        <v>Car parking</v>
      </c>
      <c r="E474" s="165" t="str">
        <f>H779</f>
        <v>Terminal Domestic - Turbo Prop</v>
      </c>
      <c r="F474" s="165"/>
      <c r="G474" s="165" t="s">
        <v>60</v>
      </c>
      <c r="H474" s="121"/>
      <c r="I474" s="165"/>
      <c r="J474" s="165"/>
      <c r="K474" s="303"/>
      <c r="L474" s="303"/>
      <c r="M474" s="304"/>
      <c r="N474" s="203">
        <f>[2]OUTPUT!N961</f>
        <v>0</v>
      </c>
      <c r="O474" s="197">
        <f t="shared" ref="O474:X474" si="428">N474</f>
        <v>0</v>
      </c>
      <c r="P474" s="164">
        <f t="shared" si="428"/>
        <v>0</v>
      </c>
      <c r="Q474" s="164">
        <f t="shared" si="428"/>
        <v>0</v>
      </c>
      <c r="R474" s="164">
        <f t="shared" si="428"/>
        <v>0</v>
      </c>
      <c r="S474" s="164">
        <f t="shared" si="428"/>
        <v>0</v>
      </c>
      <c r="T474" s="164">
        <f t="shared" si="428"/>
        <v>0</v>
      </c>
      <c r="U474" s="164">
        <f t="shared" si="428"/>
        <v>0</v>
      </c>
      <c r="V474" s="164">
        <f t="shared" si="428"/>
        <v>0</v>
      </c>
      <c r="W474" s="164">
        <f t="shared" si="428"/>
        <v>0</v>
      </c>
      <c r="X474" s="164">
        <f t="shared" si="428"/>
        <v>0</v>
      </c>
      <c r="Y474" s="164">
        <f t="shared" ref="Y474:AM474" si="429">X474</f>
        <v>0</v>
      </c>
      <c r="Z474" s="164">
        <f t="shared" si="429"/>
        <v>0</v>
      </c>
      <c r="AA474" s="164">
        <f t="shared" si="429"/>
        <v>0</v>
      </c>
      <c r="AB474" s="164">
        <f t="shared" si="429"/>
        <v>0</v>
      </c>
      <c r="AC474" s="164">
        <f t="shared" si="429"/>
        <v>0</v>
      </c>
      <c r="AD474" s="164">
        <f t="shared" si="429"/>
        <v>0</v>
      </c>
      <c r="AE474" s="164">
        <f t="shared" si="429"/>
        <v>0</v>
      </c>
      <c r="AF474" s="164">
        <f t="shared" si="429"/>
        <v>0</v>
      </c>
      <c r="AG474" s="164">
        <f t="shared" si="429"/>
        <v>0</v>
      </c>
      <c r="AH474" s="164">
        <f t="shared" si="429"/>
        <v>0</v>
      </c>
      <c r="AI474" s="164">
        <f t="shared" si="429"/>
        <v>0</v>
      </c>
      <c r="AJ474" s="164">
        <f t="shared" si="429"/>
        <v>0</v>
      </c>
      <c r="AK474" s="164">
        <f t="shared" si="429"/>
        <v>0</v>
      </c>
      <c r="AL474" s="164">
        <f t="shared" si="429"/>
        <v>0</v>
      </c>
      <c r="AM474" s="164">
        <f t="shared" si="429"/>
        <v>0</v>
      </c>
    </row>
    <row r="475" spans="1:39" outlineLevel="1">
      <c r="A475" s="100"/>
      <c r="B475" s="100"/>
      <c r="C475" s="100"/>
      <c r="D475" s="179" t="str">
        <f t="shared" si="425"/>
        <v>Car parking</v>
      </c>
      <c r="E475" s="165" t="str">
        <f>H779</f>
        <v>Terminal Domestic - Turbo Prop</v>
      </c>
      <c r="F475" s="165"/>
      <c r="G475" s="165" t="s">
        <v>79</v>
      </c>
      <c r="H475" s="121"/>
      <c r="I475" s="165"/>
      <c r="J475" s="165"/>
      <c r="K475" s="303"/>
      <c r="L475" s="303"/>
      <c r="M475" s="202"/>
      <c r="N475" s="203">
        <f>[2]OUTPUT!N962</f>
        <v>0</v>
      </c>
      <c r="O475" s="197">
        <f t="shared" ref="O475:X475" si="430">N477</f>
        <v>0</v>
      </c>
      <c r="P475" s="164">
        <f t="shared" si="430"/>
        <v>0</v>
      </c>
      <c r="Q475" s="164">
        <f t="shared" si="430"/>
        <v>0</v>
      </c>
      <c r="R475" s="164">
        <f t="shared" si="430"/>
        <v>0</v>
      </c>
      <c r="S475" s="164">
        <f t="shared" si="430"/>
        <v>0</v>
      </c>
      <c r="T475" s="164">
        <f t="shared" si="430"/>
        <v>0</v>
      </c>
      <c r="U475" s="164">
        <f t="shared" si="430"/>
        <v>0</v>
      </c>
      <c r="V475" s="164">
        <f t="shared" si="430"/>
        <v>0</v>
      </c>
      <c r="W475" s="164">
        <f t="shared" si="430"/>
        <v>0</v>
      </c>
      <c r="X475" s="164">
        <f t="shared" si="430"/>
        <v>0</v>
      </c>
      <c r="Y475" s="164">
        <f t="shared" ref="Y475:AM475" si="431">X477</f>
        <v>0</v>
      </c>
      <c r="Z475" s="164">
        <f t="shared" si="431"/>
        <v>0</v>
      </c>
      <c r="AA475" s="164">
        <f t="shared" si="431"/>
        <v>0</v>
      </c>
      <c r="AB475" s="164">
        <f t="shared" si="431"/>
        <v>0</v>
      </c>
      <c r="AC475" s="164">
        <f t="shared" si="431"/>
        <v>0</v>
      </c>
      <c r="AD475" s="164">
        <f t="shared" si="431"/>
        <v>0</v>
      </c>
      <c r="AE475" s="164">
        <f t="shared" si="431"/>
        <v>0</v>
      </c>
      <c r="AF475" s="164">
        <f t="shared" si="431"/>
        <v>0</v>
      </c>
      <c r="AG475" s="164">
        <f t="shared" si="431"/>
        <v>0</v>
      </c>
      <c r="AH475" s="164">
        <f t="shared" si="431"/>
        <v>0</v>
      </c>
      <c r="AI475" s="164">
        <f t="shared" si="431"/>
        <v>0</v>
      </c>
      <c r="AJ475" s="164">
        <f t="shared" si="431"/>
        <v>0</v>
      </c>
      <c r="AK475" s="164">
        <f t="shared" si="431"/>
        <v>0</v>
      </c>
      <c r="AL475" s="164">
        <f t="shared" si="431"/>
        <v>0</v>
      </c>
      <c r="AM475" s="164">
        <f t="shared" si="431"/>
        <v>0</v>
      </c>
    </row>
    <row r="476" spans="1:39" outlineLevel="1">
      <c r="A476" s="100"/>
      <c r="B476" s="100"/>
      <c r="C476" s="100"/>
      <c r="D476" s="179" t="str">
        <f t="shared" si="425"/>
        <v>Car parking</v>
      </c>
      <c r="E476" s="165" t="str">
        <f>H779</f>
        <v>Terminal Domestic - Turbo Prop</v>
      </c>
      <c r="F476" s="165"/>
      <c r="G476" s="165" t="s">
        <v>78</v>
      </c>
      <c r="H476" s="121"/>
      <c r="I476" s="165"/>
      <c r="J476" s="165"/>
      <c r="K476" s="303"/>
      <c r="L476" s="303"/>
      <c r="M476" s="202"/>
      <c r="N476" s="203">
        <f>[2]OUTPUT!N963</f>
        <v>0</v>
      </c>
      <c r="O476" s="197">
        <f>IFERROR(MIN(O473,O474/'Asset base'!O$105),0)</f>
        <v>0</v>
      </c>
      <c r="P476" s="164">
        <f>IFERROR(MIN(P473,P474/'Asset base'!P$105),0)</f>
        <v>0</v>
      </c>
      <c r="Q476" s="164">
        <f>IFERROR(MIN(Q473,Q474/'Asset base'!Q$105),0)</f>
        <v>0</v>
      </c>
      <c r="R476" s="164">
        <f>IFERROR(MIN(R473,R474/'Asset base'!R$105),0)</f>
        <v>0</v>
      </c>
      <c r="S476" s="164">
        <f>IFERROR(MIN(S473,S474/'Asset base'!S$105),0)</f>
        <v>0</v>
      </c>
      <c r="T476" s="164">
        <f>IFERROR(MIN(T473,T474/'Asset base'!T$105),0)</f>
        <v>0</v>
      </c>
      <c r="U476" s="164">
        <f>IFERROR(MIN(U473,U474/'Asset base'!U$105),0)</f>
        <v>0</v>
      </c>
      <c r="V476" s="164">
        <f>IFERROR(MIN(V473,V474/'Asset base'!V$105),0)</f>
        <v>0</v>
      </c>
      <c r="W476" s="164">
        <f>IFERROR(MIN(W473,W474/'Asset base'!W$105),0)</f>
        <v>0</v>
      </c>
      <c r="X476" s="164">
        <f>IFERROR(MIN(X473,X474/'Asset base'!X$105),0)</f>
        <v>0</v>
      </c>
      <c r="Y476" s="164">
        <f>IFERROR(MIN(Y473,Y474/'Asset base'!Y$105),0)</f>
        <v>0</v>
      </c>
      <c r="Z476" s="164">
        <f>IFERROR(MIN(Z473,Z474/'Asset base'!Z$105),0)</f>
        <v>0</v>
      </c>
      <c r="AA476" s="164">
        <f>IFERROR(MIN(AA473,AA474/'Asset base'!AA$105),0)</f>
        <v>0</v>
      </c>
      <c r="AB476" s="164">
        <f>IFERROR(MIN(AB473,AB474/'Asset base'!AB$105),0)</f>
        <v>0</v>
      </c>
      <c r="AC476" s="164">
        <f>IFERROR(MIN(AC473,AC474/'Asset base'!AC$105),0)</f>
        <v>0</v>
      </c>
      <c r="AD476" s="164">
        <f>IFERROR(MIN(AD473,AD474/'Asset base'!AD$105),0)</f>
        <v>0</v>
      </c>
      <c r="AE476" s="164">
        <f>IFERROR(MIN(AE473,AE474/'Asset base'!AE$105),0)</f>
        <v>0</v>
      </c>
      <c r="AF476" s="164">
        <f>IFERROR(MIN(AF473,AF474/'Asset base'!AF$105),0)</f>
        <v>0</v>
      </c>
      <c r="AG476" s="164">
        <f>IFERROR(MIN(AG473,AG474/'Asset base'!AG$105),0)</f>
        <v>0</v>
      </c>
      <c r="AH476" s="164">
        <f>IFERROR(MIN(AH473,AH474/'Asset base'!AH$105),0)</f>
        <v>0</v>
      </c>
      <c r="AI476" s="164">
        <f>IFERROR(MIN(AI473,AI474/'Asset base'!AI$105),0)</f>
        <v>0</v>
      </c>
      <c r="AJ476" s="164">
        <f>IFERROR(MIN(AJ473,AJ474/'Asset base'!AJ$105),0)</f>
        <v>0</v>
      </c>
      <c r="AK476" s="164">
        <f>IFERROR(MIN(AK473,AK474/'Asset base'!AK$105),0)</f>
        <v>0</v>
      </c>
      <c r="AL476" s="164">
        <f>IFERROR(MIN(AL473,AL474/'Asset base'!AL$105),0)</f>
        <v>0</v>
      </c>
      <c r="AM476" s="164">
        <f>IFERROR(MIN(AM473,AM474/'Asset base'!AM$105),0)</f>
        <v>0</v>
      </c>
    </row>
    <row r="477" spans="1:39" outlineLevel="1">
      <c r="A477" s="100"/>
      <c r="B477" s="100"/>
      <c r="C477" s="100"/>
      <c r="D477" s="179" t="str">
        <f t="shared" si="425"/>
        <v>Car parking</v>
      </c>
      <c r="E477" s="165" t="str">
        <f>H779</f>
        <v>Terminal Domestic - Turbo Prop</v>
      </c>
      <c r="F477" s="165"/>
      <c r="G477" s="165" t="s">
        <v>77</v>
      </c>
      <c r="H477" s="121"/>
      <c r="I477" s="165"/>
      <c r="J477" s="165"/>
      <c r="K477" s="305"/>
      <c r="L477" s="305"/>
      <c r="M477" s="306"/>
      <c r="N477" s="203">
        <f>[2]OUTPUT!N964</f>
        <v>0</v>
      </c>
      <c r="O477" s="197">
        <f t="shared" ref="O477:X477" si="432">SUM(O475:O476)</f>
        <v>0</v>
      </c>
      <c r="P477" s="164">
        <f t="shared" si="432"/>
        <v>0</v>
      </c>
      <c r="Q477" s="164">
        <f t="shared" si="432"/>
        <v>0</v>
      </c>
      <c r="R477" s="164">
        <f t="shared" si="432"/>
        <v>0</v>
      </c>
      <c r="S477" s="164">
        <f t="shared" si="432"/>
        <v>0</v>
      </c>
      <c r="T477" s="164">
        <f t="shared" si="432"/>
        <v>0</v>
      </c>
      <c r="U477" s="164">
        <f t="shared" si="432"/>
        <v>0</v>
      </c>
      <c r="V477" s="164">
        <f t="shared" si="432"/>
        <v>0</v>
      </c>
      <c r="W477" s="164">
        <f t="shared" si="432"/>
        <v>0</v>
      </c>
      <c r="X477" s="164">
        <f t="shared" si="432"/>
        <v>0</v>
      </c>
      <c r="Y477" s="164">
        <f>SUM(Y475:Y476)</f>
        <v>0</v>
      </c>
      <c r="Z477" s="164">
        <f t="shared" ref="Z477:AM477" si="433">SUM(Z475:Z476)</f>
        <v>0</v>
      </c>
      <c r="AA477" s="164">
        <f t="shared" si="433"/>
        <v>0</v>
      </c>
      <c r="AB477" s="164">
        <f t="shared" si="433"/>
        <v>0</v>
      </c>
      <c r="AC477" s="164">
        <f t="shared" si="433"/>
        <v>0</v>
      </c>
      <c r="AD477" s="164">
        <f t="shared" si="433"/>
        <v>0</v>
      </c>
      <c r="AE477" s="164">
        <f t="shared" si="433"/>
        <v>0</v>
      </c>
      <c r="AF477" s="164">
        <f t="shared" si="433"/>
        <v>0</v>
      </c>
      <c r="AG477" s="164">
        <f t="shared" si="433"/>
        <v>0</v>
      </c>
      <c r="AH477" s="164">
        <f t="shared" si="433"/>
        <v>0</v>
      </c>
      <c r="AI477" s="164">
        <f t="shared" si="433"/>
        <v>0</v>
      </c>
      <c r="AJ477" s="164">
        <f t="shared" si="433"/>
        <v>0</v>
      </c>
      <c r="AK477" s="164">
        <f t="shared" si="433"/>
        <v>0</v>
      </c>
      <c r="AL477" s="164">
        <f t="shared" si="433"/>
        <v>0</v>
      </c>
      <c r="AM477" s="164">
        <f t="shared" si="433"/>
        <v>0</v>
      </c>
    </row>
    <row r="478" spans="1:39" outlineLevel="1">
      <c r="A478" s="100"/>
      <c r="B478" s="100"/>
      <c r="C478" s="100"/>
      <c r="D478" s="179" t="str">
        <f t="shared" si="425"/>
        <v>Car parking</v>
      </c>
      <c r="E478" s="165" t="str">
        <f>H779</f>
        <v>Terminal Domestic - Turbo Prop</v>
      </c>
      <c r="F478" s="165"/>
      <c r="G478" s="200" t="s">
        <v>76</v>
      </c>
      <c r="H478" s="201"/>
      <c r="I478" s="200"/>
      <c r="J478" s="200"/>
      <c r="K478" s="198">
        <f t="shared" ref="K478:S478" si="434">K474-K477</f>
        <v>0</v>
      </c>
      <c r="L478" s="198">
        <f t="shared" si="434"/>
        <v>0</v>
      </c>
      <c r="M478" s="227">
        <f>N473</f>
        <v>0</v>
      </c>
      <c r="N478" s="541">
        <f t="shared" si="434"/>
        <v>0</v>
      </c>
      <c r="O478" s="199">
        <f t="shared" si="434"/>
        <v>0</v>
      </c>
      <c r="P478" s="198">
        <f t="shared" si="434"/>
        <v>0</v>
      </c>
      <c r="Q478" s="198">
        <f t="shared" si="434"/>
        <v>0</v>
      </c>
      <c r="R478" s="198">
        <f t="shared" si="434"/>
        <v>0</v>
      </c>
      <c r="S478" s="198">
        <f t="shared" si="434"/>
        <v>0</v>
      </c>
      <c r="T478" s="198">
        <f t="shared" ref="T478:AM478" si="435">T474-T477</f>
        <v>0</v>
      </c>
      <c r="U478" s="198">
        <f t="shared" si="435"/>
        <v>0</v>
      </c>
      <c r="V478" s="198">
        <f t="shared" si="435"/>
        <v>0</v>
      </c>
      <c r="W478" s="198">
        <f t="shared" si="435"/>
        <v>0</v>
      </c>
      <c r="X478" s="198">
        <f t="shared" si="435"/>
        <v>0</v>
      </c>
      <c r="Y478" s="198">
        <f t="shared" si="435"/>
        <v>0</v>
      </c>
      <c r="Z478" s="198">
        <f t="shared" si="435"/>
        <v>0</v>
      </c>
      <c r="AA478" s="198">
        <f t="shared" si="435"/>
        <v>0</v>
      </c>
      <c r="AB478" s="198">
        <f t="shared" si="435"/>
        <v>0</v>
      </c>
      <c r="AC478" s="198">
        <f t="shared" si="435"/>
        <v>0</v>
      </c>
      <c r="AD478" s="198">
        <f t="shared" si="435"/>
        <v>0</v>
      </c>
      <c r="AE478" s="198">
        <f t="shared" si="435"/>
        <v>0</v>
      </c>
      <c r="AF478" s="198">
        <f t="shared" si="435"/>
        <v>0</v>
      </c>
      <c r="AG478" s="198">
        <f t="shared" si="435"/>
        <v>0</v>
      </c>
      <c r="AH478" s="198">
        <f t="shared" si="435"/>
        <v>0</v>
      </c>
      <c r="AI478" s="198">
        <f t="shared" si="435"/>
        <v>0</v>
      </c>
      <c r="AJ478" s="198">
        <f t="shared" si="435"/>
        <v>0</v>
      </c>
      <c r="AK478" s="198">
        <f t="shared" si="435"/>
        <v>0</v>
      </c>
      <c r="AL478" s="198">
        <f t="shared" si="435"/>
        <v>0</v>
      </c>
      <c r="AM478" s="198">
        <f t="shared" si="435"/>
        <v>0</v>
      </c>
    </row>
    <row r="479" spans="1:39" outlineLevel="1">
      <c r="A479" s="100"/>
      <c r="B479" s="100"/>
      <c r="C479" s="100"/>
      <c r="D479" s="179"/>
      <c r="E479" s="165"/>
      <c r="F479" s="165"/>
      <c r="G479" s="165"/>
      <c r="H479" s="121"/>
      <c r="I479" s="165"/>
      <c r="J479" s="165"/>
      <c r="K479" s="164"/>
      <c r="L479" s="164"/>
      <c r="M479" s="227"/>
      <c r="N479" s="203"/>
      <c r="O479" s="197"/>
      <c r="P479" s="164"/>
      <c r="Q479" s="164"/>
      <c r="R479" s="164"/>
      <c r="S479" s="164"/>
      <c r="T479" s="164"/>
      <c r="U479" s="164"/>
      <c r="V479" s="164"/>
      <c r="W479" s="164"/>
      <c r="X479" s="164"/>
      <c r="Y479" s="164"/>
      <c r="Z479" s="164"/>
      <c r="AA479" s="164"/>
      <c r="AB479" s="164"/>
      <c r="AC479" s="164"/>
      <c r="AD479" s="164"/>
      <c r="AE479" s="164"/>
      <c r="AF479" s="164"/>
      <c r="AG479" s="164"/>
      <c r="AH479" s="164"/>
      <c r="AI479" s="164"/>
      <c r="AJ479" s="164"/>
      <c r="AK479" s="164"/>
      <c r="AL479" s="164"/>
      <c r="AM479" s="164"/>
    </row>
    <row r="480" spans="1:39" outlineLevel="1">
      <c r="A480" s="100"/>
      <c r="B480" s="100"/>
      <c r="C480" s="100"/>
      <c r="D480" s="179"/>
      <c r="E480" s="165"/>
      <c r="F480" s="165"/>
      <c r="G480" s="206" t="str">
        <f>G862</f>
        <v>Software</v>
      </c>
      <c r="H480" s="121"/>
      <c r="I480" s="165"/>
      <c r="J480" s="165"/>
      <c r="K480" s="207"/>
      <c r="L480" s="164"/>
      <c r="M480" s="227"/>
      <c r="N480" s="203"/>
      <c r="O480" s="197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</row>
    <row r="481" spans="1:39" outlineLevel="1">
      <c r="A481" s="100"/>
      <c r="B481" s="100"/>
      <c r="C481" s="100"/>
      <c r="D481" s="179"/>
      <c r="E481" s="165"/>
      <c r="F481" s="165"/>
      <c r="G481" s="205"/>
      <c r="H481" s="121"/>
      <c r="I481" s="165"/>
      <c r="J481" s="165"/>
      <c r="K481" s="207"/>
      <c r="L481" s="164"/>
      <c r="M481" s="227"/>
      <c r="N481" s="203"/>
      <c r="O481" s="197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</row>
    <row r="482" spans="1:39" outlineLevel="1">
      <c r="A482" s="100"/>
      <c r="B482" s="100"/>
      <c r="C482" s="100"/>
      <c r="D482" s="179" t="str">
        <f t="shared" ref="D482:D487" si="436">$G$581</f>
        <v>Software</v>
      </c>
      <c r="E482" s="165" t="str">
        <f>H779</f>
        <v>Terminal Domestic - Turbo Prop</v>
      </c>
      <c r="F482" s="165"/>
      <c r="G482" s="165" t="s">
        <v>80</v>
      </c>
      <c r="H482" s="121"/>
      <c r="I482" s="165"/>
      <c r="J482" s="165"/>
      <c r="K482" s="164"/>
      <c r="L482" s="164"/>
      <c r="M482" s="227"/>
      <c r="N482" s="203">
        <f>[2]OUTPUT!N969</f>
        <v>0</v>
      </c>
      <c r="O482" s="197">
        <f t="shared" ref="O482:X482" si="437">N487</f>
        <v>101.75113811440768</v>
      </c>
      <c r="P482" s="164">
        <f t="shared" si="437"/>
        <v>76.313353585805757</v>
      </c>
      <c r="Q482" s="164">
        <f t="shared" si="437"/>
        <v>50.87556905720384</v>
      </c>
      <c r="R482" s="164">
        <f t="shared" si="437"/>
        <v>25.437784528601924</v>
      </c>
      <c r="S482" s="164">
        <f t="shared" si="437"/>
        <v>0</v>
      </c>
      <c r="T482" s="164">
        <f t="shared" si="437"/>
        <v>0</v>
      </c>
      <c r="U482" s="164">
        <f t="shared" si="437"/>
        <v>0</v>
      </c>
      <c r="V482" s="164">
        <f t="shared" si="437"/>
        <v>0</v>
      </c>
      <c r="W482" s="164">
        <f t="shared" si="437"/>
        <v>0</v>
      </c>
      <c r="X482" s="164">
        <f t="shared" si="437"/>
        <v>0</v>
      </c>
      <c r="Y482" s="164">
        <f t="shared" ref="Y482:AM482" si="438">X487</f>
        <v>0</v>
      </c>
      <c r="Z482" s="164">
        <f t="shared" si="438"/>
        <v>0</v>
      </c>
      <c r="AA482" s="164">
        <f t="shared" si="438"/>
        <v>0</v>
      </c>
      <c r="AB482" s="164">
        <f t="shared" si="438"/>
        <v>0</v>
      </c>
      <c r="AC482" s="164">
        <f t="shared" si="438"/>
        <v>0</v>
      </c>
      <c r="AD482" s="164">
        <f t="shared" si="438"/>
        <v>0</v>
      </c>
      <c r="AE482" s="164">
        <f t="shared" si="438"/>
        <v>0</v>
      </c>
      <c r="AF482" s="164">
        <f t="shared" si="438"/>
        <v>0</v>
      </c>
      <c r="AG482" s="164">
        <f t="shared" si="438"/>
        <v>0</v>
      </c>
      <c r="AH482" s="164">
        <f t="shared" si="438"/>
        <v>0</v>
      </c>
      <c r="AI482" s="164">
        <f t="shared" si="438"/>
        <v>0</v>
      </c>
      <c r="AJ482" s="164">
        <f t="shared" si="438"/>
        <v>0</v>
      </c>
      <c r="AK482" s="164">
        <f t="shared" si="438"/>
        <v>0</v>
      </c>
      <c r="AL482" s="164">
        <f t="shared" si="438"/>
        <v>0</v>
      </c>
      <c r="AM482" s="164">
        <f t="shared" si="438"/>
        <v>0</v>
      </c>
    </row>
    <row r="483" spans="1:39" outlineLevel="1">
      <c r="A483" s="100"/>
      <c r="B483" s="100"/>
      <c r="C483" s="100"/>
      <c r="D483" s="179" t="str">
        <f t="shared" si="436"/>
        <v>Software</v>
      </c>
      <c r="E483" s="165" t="str">
        <f>H779</f>
        <v>Terminal Domestic - Turbo Prop</v>
      </c>
      <c r="F483" s="165"/>
      <c r="G483" s="165" t="s">
        <v>60</v>
      </c>
      <c r="H483" s="121"/>
      <c r="I483" s="165"/>
      <c r="J483" s="165"/>
      <c r="K483" s="303"/>
      <c r="L483" s="303"/>
      <c r="M483" s="304"/>
      <c r="N483" s="203">
        <f>[2]OUTPUT!N970</f>
        <v>0</v>
      </c>
      <c r="O483" s="197">
        <f>N487</f>
        <v>101.75113811440768</v>
      </c>
      <c r="P483" s="164">
        <f t="shared" ref="P483:X483" si="439">O483</f>
        <v>101.75113811440768</v>
      </c>
      <c r="Q483" s="164">
        <f t="shared" si="439"/>
        <v>101.75113811440768</v>
      </c>
      <c r="R483" s="164">
        <f t="shared" si="439"/>
        <v>101.75113811440768</v>
      </c>
      <c r="S483" s="164">
        <f t="shared" si="439"/>
        <v>101.75113811440768</v>
      </c>
      <c r="T483" s="164">
        <f t="shared" si="439"/>
        <v>101.75113811440768</v>
      </c>
      <c r="U483" s="164">
        <f t="shared" si="439"/>
        <v>101.75113811440768</v>
      </c>
      <c r="V483" s="164">
        <f t="shared" si="439"/>
        <v>101.75113811440768</v>
      </c>
      <c r="W483" s="164">
        <f t="shared" si="439"/>
        <v>101.75113811440768</v>
      </c>
      <c r="X483" s="164">
        <f t="shared" si="439"/>
        <v>101.75113811440768</v>
      </c>
      <c r="Y483" s="164">
        <f t="shared" ref="Y483:AM483" si="440">X483</f>
        <v>101.75113811440768</v>
      </c>
      <c r="Z483" s="164">
        <f t="shared" si="440"/>
        <v>101.75113811440768</v>
      </c>
      <c r="AA483" s="164">
        <f t="shared" si="440"/>
        <v>101.75113811440768</v>
      </c>
      <c r="AB483" s="164">
        <f t="shared" si="440"/>
        <v>101.75113811440768</v>
      </c>
      <c r="AC483" s="164">
        <f t="shared" si="440"/>
        <v>101.75113811440768</v>
      </c>
      <c r="AD483" s="164">
        <f t="shared" si="440"/>
        <v>101.75113811440768</v>
      </c>
      <c r="AE483" s="164">
        <f t="shared" si="440"/>
        <v>101.75113811440768</v>
      </c>
      <c r="AF483" s="164">
        <f t="shared" si="440"/>
        <v>101.75113811440768</v>
      </c>
      <c r="AG483" s="164">
        <f t="shared" si="440"/>
        <v>101.75113811440768</v>
      </c>
      <c r="AH483" s="164">
        <f t="shared" si="440"/>
        <v>101.75113811440768</v>
      </c>
      <c r="AI483" s="164">
        <f t="shared" si="440"/>
        <v>101.75113811440768</v>
      </c>
      <c r="AJ483" s="164">
        <f t="shared" si="440"/>
        <v>101.75113811440768</v>
      </c>
      <c r="AK483" s="164">
        <f t="shared" si="440"/>
        <v>101.75113811440768</v>
      </c>
      <c r="AL483" s="164">
        <f t="shared" si="440"/>
        <v>101.75113811440768</v>
      </c>
      <c r="AM483" s="164">
        <f t="shared" si="440"/>
        <v>101.75113811440768</v>
      </c>
    </row>
    <row r="484" spans="1:39" outlineLevel="1">
      <c r="A484" s="100"/>
      <c r="B484" s="100"/>
      <c r="C484" s="100"/>
      <c r="D484" s="179" t="str">
        <f t="shared" si="436"/>
        <v>Software</v>
      </c>
      <c r="E484" s="165" t="str">
        <f>H779</f>
        <v>Terminal Domestic - Turbo Prop</v>
      </c>
      <c r="F484" s="165"/>
      <c r="G484" s="165" t="s">
        <v>79</v>
      </c>
      <c r="H484" s="121"/>
      <c r="I484" s="165"/>
      <c r="J484" s="165"/>
      <c r="K484" s="303"/>
      <c r="L484" s="303"/>
      <c r="M484" s="202"/>
      <c r="N484" s="203">
        <f>[2]OUTPUT!N971</f>
        <v>0</v>
      </c>
      <c r="O484" s="197">
        <f t="shared" ref="O484:X484" si="441">N486</f>
        <v>0</v>
      </c>
      <c r="P484" s="164">
        <f t="shared" si="441"/>
        <v>25.43778452860192</v>
      </c>
      <c r="Q484" s="164">
        <f t="shared" si="441"/>
        <v>50.87556905720384</v>
      </c>
      <c r="R484" s="164">
        <f t="shared" si="441"/>
        <v>76.313353585805757</v>
      </c>
      <c r="S484" s="164">
        <f t="shared" si="441"/>
        <v>101.75113811440768</v>
      </c>
      <c r="T484" s="164">
        <f t="shared" si="441"/>
        <v>101.75113811440768</v>
      </c>
      <c r="U484" s="164">
        <f t="shared" si="441"/>
        <v>101.75113811440768</v>
      </c>
      <c r="V484" s="164">
        <f t="shared" si="441"/>
        <v>101.75113811440768</v>
      </c>
      <c r="W484" s="164">
        <f t="shared" si="441"/>
        <v>101.75113811440768</v>
      </c>
      <c r="X484" s="164">
        <f t="shared" si="441"/>
        <v>101.75113811440768</v>
      </c>
      <c r="Y484" s="164">
        <f t="shared" ref="Y484:AM484" si="442">X486</f>
        <v>101.75113811440768</v>
      </c>
      <c r="Z484" s="164">
        <f t="shared" si="442"/>
        <v>101.75113811440768</v>
      </c>
      <c r="AA484" s="164">
        <f t="shared" si="442"/>
        <v>101.75113811440768</v>
      </c>
      <c r="AB484" s="164">
        <f t="shared" si="442"/>
        <v>101.75113811440768</v>
      </c>
      <c r="AC484" s="164">
        <f t="shared" si="442"/>
        <v>101.75113811440768</v>
      </c>
      <c r="AD484" s="164">
        <f t="shared" si="442"/>
        <v>101.75113811440768</v>
      </c>
      <c r="AE484" s="164">
        <f t="shared" si="442"/>
        <v>101.75113811440768</v>
      </c>
      <c r="AF484" s="164">
        <f t="shared" si="442"/>
        <v>101.75113811440768</v>
      </c>
      <c r="AG484" s="164">
        <f t="shared" si="442"/>
        <v>101.75113811440768</v>
      </c>
      <c r="AH484" s="164">
        <f t="shared" si="442"/>
        <v>101.75113811440768</v>
      </c>
      <c r="AI484" s="164">
        <f t="shared" si="442"/>
        <v>101.75113811440768</v>
      </c>
      <c r="AJ484" s="164">
        <f t="shared" si="442"/>
        <v>101.75113811440768</v>
      </c>
      <c r="AK484" s="164">
        <f t="shared" si="442"/>
        <v>101.75113811440768</v>
      </c>
      <c r="AL484" s="164">
        <f t="shared" si="442"/>
        <v>101.75113811440768</v>
      </c>
      <c r="AM484" s="164">
        <f t="shared" si="442"/>
        <v>101.75113811440768</v>
      </c>
    </row>
    <row r="485" spans="1:39" outlineLevel="1">
      <c r="A485" s="100"/>
      <c r="B485" s="100"/>
      <c r="C485" s="100"/>
      <c r="D485" s="179" t="str">
        <f t="shared" si="436"/>
        <v>Software</v>
      </c>
      <c r="E485" s="165" t="str">
        <f>H779</f>
        <v>Terminal Domestic - Turbo Prop</v>
      </c>
      <c r="F485" s="165"/>
      <c r="G485" s="165" t="s">
        <v>78</v>
      </c>
      <c r="H485" s="121"/>
      <c r="I485" s="165"/>
      <c r="J485" s="165"/>
      <c r="K485" s="303"/>
      <c r="L485" s="303"/>
      <c r="M485" s="202"/>
      <c r="N485" s="203">
        <f>[2]OUTPUT!N972</f>
        <v>0</v>
      </c>
      <c r="O485" s="197">
        <f>IFERROR(MIN(O482,O483/'Asset base'!O$106),0)</f>
        <v>25.43778452860192</v>
      </c>
      <c r="P485" s="164">
        <f>IFERROR(MIN(P482,P483/'Asset base'!P$106),0)</f>
        <v>25.43778452860192</v>
      </c>
      <c r="Q485" s="164">
        <f>IFERROR(MIN(Q482,Q483/'Asset base'!Q$106),0)</f>
        <v>25.43778452860192</v>
      </c>
      <c r="R485" s="164">
        <f>IFERROR(MIN(R482,R483/'Asset base'!R$106),0)</f>
        <v>25.43778452860192</v>
      </c>
      <c r="S485" s="164">
        <f>IFERROR(MIN(S482,S483/'Asset base'!S$106),0)</f>
        <v>0</v>
      </c>
      <c r="T485" s="164">
        <f>IFERROR(MIN(T482,T483/'Asset base'!T$106),0)</f>
        <v>0</v>
      </c>
      <c r="U485" s="164">
        <f>IFERROR(MIN(U482,U483/'Asset base'!U$106),0)</f>
        <v>0</v>
      </c>
      <c r="V485" s="164">
        <f>IFERROR(MIN(V482,V483/'Asset base'!V$106),0)</f>
        <v>0</v>
      </c>
      <c r="W485" s="164">
        <f>IFERROR(MIN(W482,W483/'Asset base'!W$106),0)</f>
        <v>0</v>
      </c>
      <c r="X485" s="164">
        <f>IFERROR(MIN(X482,X483/'Asset base'!X$106),0)</f>
        <v>0</v>
      </c>
      <c r="Y485" s="164">
        <f>IFERROR(MIN(Y482,Y483/'Asset base'!Y$106),0)</f>
        <v>0</v>
      </c>
      <c r="Z485" s="164">
        <f>IFERROR(MIN(Z482,Z483/'Asset base'!Z$106),0)</f>
        <v>0</v>
      </c>
      <c r="AA485" s="164">
        <f>IFERROR(MIN(AA482,AA483/'Asset base'!AA$106),0)</f>
        <v>0</v>
      </c>
      <c r="AB485" s="164">
        <f>IFERROR(MIN(AB482,AB483/'Asset base'!AB$106),0)</f>
        <v>0</v>
      </c>
      <c r="AC485" s="164">
        <f>IFERROR(MIN(AC482,AC483/'Asset base'!AC$106),0)</f>
        <v>0</v>
      </c>
      <c r="AD485" s="164">
        <f>IFERROR(MIN(AD482,AD483/'Asset base'!AD$106),0)</f>
        <v>0</v>
      </c>
      <c r="AE485" s="164">
        <f>IFERROR(MIN(AE482,AE483/'Asset base'!AE$106),0)</f>
        <v>0</v>
      </c>
      <c r="AF485" s="164">
        <f>IFERROR(MIN(AF482,AF483/'Asset base'!AF$106),0)</f>
        <v>0</v>
      </c>
      <c r="AG485" s="164">
        <f>IFERROR(MIN(AG482,AG483/'Asset base'!AG$106),0)</f>
        <v>0</v>
      </c>
      <c r="AH485" s="164">
        <f>IFERROR(MIN(AH482,AH483/'Asset base'!AH$106),0)</f>
        <v>0</v>
      </c>
      <c r="AI485" s="164">
        <f>IFERROR(MIN(AI482,AI483/'Asset base'!AI$106),0)</f>
        <v>0</v>
      </c>
      <c r="AJ485" s="164">
        <f>IFERROR(MIN(AJ482,AJ483/'Asset base'!AJ$106),0)</f>
        <v>0</v>
      </c>
      <c r="AK485" s="164">
        <f>IFERROR(MIN(AK482,AK483/'Asset base'!AK$106),0)</f>
        <v>0</v>
      </c>
      <c r="AL485" s="164">
        <f>IFERROR(MIN(AL482,AL483/'Asset base'!AL$106),0)</f>
        <v>0</v>
      </c>
      <c r="AM485" s="164">
        <f>IFERROR(MIN(AM482,AM483/'Asset base'!AM$106),0)</f>
        <v>0</v>
      </c>
    </row>
    <row r="486" spans="1:39" outlineLevel="1">
      <c r="A486" s="100"/>
      <c r="B486" s="100"/>
      <c r="C486" s="100"/>
      <c r="D486" s="179" t="str">
        <f t="shared" si="436"/>
        <v>Software</v>
      </c>
      <c r="E486" s="165" t="str">
        <f>H779</f>
        <v>Terminal Domestic - Turbo Prop</v>
      </c>
      <c r="F486" s="165"/>
      <c r="G486" s="165" t="s">
        <v>77</v>
      </c>
      <c r="H486" s="121"/>
      <c r="I486" s="165"/>
      <c r="J486" s="165"/>
      <c r="K486" s="305"/>
      <c r="L486" s="305"/>
      <c r="M486" s="306"/>
      <c r="N486" s="203">
        <f>[2]OUTPUT!N973</f>
        <v>0</v>
      </c>
      <c r="O486" s="197">
        <f t="shared" ref="O486:X486" si="443">SUM(O484:O485)</f>
        <v>25.43778452860192</v>
      </c>
      <c r="P486" s="164">
        <f t="shared" si="443"/>
        <v>50.87556905720384</v>
      </c>
      <c r="Q486" s="164">
        <f t="shared" si="443"/>
        <v>76.313353585805757</v>
      </c>
      <c r="R486" s="164">
        <f t="shared" si="443"/>
        <v>101.75113811440768</v>
      </c>
      <c r="S486" s="164">
        <f t="shared" si="443"/>
        <v>101.75113811440768</v>
      </c>
      <c r="T486" s="164">
        <f t="shared" si="443"/>
        <v>101.75113811440768</v>
      </c>
      <c r="U486" s="164">
        <f t="shared" si="443"/>
        <v>101.75113811440768</v>
      </c>
      <c r="V486" s="164">
        <f t="shared" si="443"/>
        <v>101.75113811440768</v>
      </c>
      <c r="W486" s="164">
        <f t="shared" si="443"/>
        <v>101.75113811440768</v>
      </c>
      <c r="X486" s="164">
        <f t="shared" si="443"/>
        <v>101.75113811440768</v>
      </c>
      <c r="Y486" s="164">
        <f>SUM(Y484:Y485)</f>
        <v>101.75113811440768</v>
      </c>
      <c r="Z486" s="164">
        <f t="shared" ref="Z486:AM486" si="444">SUM(Z484:Z485)</f>
        <v>101.75113811440768</v>
      </c>
      <c r="AA486" s="164">
        <f t="shared" si="444"/>
        <v>101.75113811440768</v>
      </c>
      <c r="AB486" s="164">
        <f t="shared" si="444"/>
        <v>101.75113811440768</v>
      </c>
      <c r="AC486" s="164">
        <f t="shared" si="444"/>
        <v>101.75113811440768</v>
      </c>
      <c r="AD486" s="164">
        <f t="shared" si="444"/>
        <v>101.75113811440768</v>
      </c>
      <c r="AE486" s="164">
        <f t="shared" si="444"/>
        <v>101.75113811440768</v>
      </c>
      <c r="AF486" s="164">
        <f t="shared" si="444"/>
        <v>101.75113811440768</v>
      </c>
      <c r="AG486" s="164">
        <f t="shared" si="444"/>
        <v>101.75113811440768</v>
      </c>
      <c r="AH486" s="164">
        <f t="shared" si="444"/>
        <v>101.75113811440768</v>
      </c>
      <c r="AI486" s="164">
        <f t="shared" si="444"/>
        <v>101.75113811440768</v>
      </c>
      <c r="AJ486" s="164">
        <f t="shared" si="444"/>
        <v>101.75113811440768</v>
      </c>
      <c r="AK486" s="164">
        <f t="shared" si="444"/>
        <v>101.75113811440768</v>
      </c>
      <c r="AL486" s="164">
        <f t="shared" si="444"/>
        <v>101.75113811440768</v>
      </c>
      <c r="AM486" s="164">
        <f t="shared" si="444"/>
        <v>101.75113811440768</v>
      </c>
    </row>
    <row r="487" spans="1:39" outlineLevel="1">
      <c r="A487" s="100"/>
      <c r="B487" s="100"/>
      <c r="C487" s="100"/>
      <c r="D487" s="179" t="str">
        <f t="shared" si="436"/>
        <v>Software</v>
      </c>
      <c r="E487" s="165" t="str">
        <f>H779</f>
        <v>Terminal Domestic - Turbo Prop</v>
      </c>
      <c r="F487" s="165"/>
      <c r="G487" s="200" t="s">
        <v>76</v>
      </c>
      <c r="H487" s="201"/>
      <c r="I487" s="200"/>
      <c r="J487" s="200"/>
      <c r="K487" s="198">
        <f t="shared" ref="K487:S487" si="445">K483-K486</f>
        <v>0</v>
      </c>
      <c r="L487" s="198">
        <f t="shared" si="445"/>
        <v>0</v>
      </c>
      <c r="M487" s="227">
        <f>N482</f>
        <v>0</v>
      </c>
      <c r="N487" s="541">
        <f>'[7]2008-2012 Asset Mov''t Revised'!$AJ$83</f>
        <v>101.75113811440768</v>
      </c>
      <c r="O487" s="199">
        <f t="shared" si="445"/>
        <v>76.313353585805757</v>
      </c>
      <c r="P487" s="198">
        <f t="shared" si="445"/>
        <v>50.87556905720384</v>
      </c>
      <c r="Q487" s="198">
        <f t="shared" si="445"/>
        <v>25.437784528601924</v>
      </c>
      <c r="R487" s="198">
        <f t="shared" si="445"/>
        <v>0</v>
      </c>
      <c r="S487" s="198">
        <f t="shared" si="445"/>
        <v>0</v>
      </c>
      <c r="T487" s="198">
        <f t="shared" ref="T487:AM487" si="446">T483-T486</f>
        <v>0</v>
      </c>
      <c r="U487" s="198">
        <f t="shared" si="446"/>
        <v>0</v>
      </c>
      <c r="V487" s="198">
        <f t="shared" si="446"/>
        <v>0</v>
      </c>
      <c r="W487" s="198">
        <f t="shared" si="446"/>
        <v>0</v>
      </c>
      <c r="X487" s="198">
        <f t="shared" si="446"/>
        <v>0</v>
      </c>
      <c r="Y487" s="198">
        <f t="shared" si="446"/>
        <v>0</v>
      </c>
      <c r="Z487" s="198">
        <f t="shared" si="446"/>
        <v>0</v>
      </c>
      <c r="AA487" s="198">
        <f t="shared" si="446"/>
        <v>0</v>
      </c>
      <c r="AB487" s="198">
        <f t="shared" si="446"/>
        <v>0</v>
      </c>
      <c r="AC487" s="198">
        <f t="shared" si="446"/>
        <v>0</v>
      </c>
      <c r="AD487" s="198">
        <f t="shared" si="446"/>
        <v>0</v>
      </c>
      <c r="AE487" s="198">
        <f t="shared" si="446"/>
        <v>0</v>
      </c>
      <c r="AF487" s="198">
        <f t="shared" si="446"/>
        <v>0</v>
      </c>
      <c r="AG487" s="198">
        <f t="shared" si="446"/>
        <v>0</v>
      </c>
      <c r="AH487" s="198">
        <f t="shared" si="446"/>
        <v>0</v>
      </c>
      <c r="AI487" s="198">
        <f t="shared" si="446"/>
        <v>0</v>
      </c>
      <c r="AJ487" s="198">
        <f t="shared" si="446"/>
        <v>0</v>
      </c>
      <c r="AK487" s="198">
        <f t="shared" si="446"/>
        <v>0</v>
      </c>
      <c r="AL487" s="198">
        <f t="shared" si="446"/>
        <v>0</v>
      </c>
      <c r="AM487" s="198">
        <f t="shared" si="446"/>
        <v>0</v>
      </c>
    </row>
    <row r="488" spans="1:39">
      <c r="A488" s="100"/>
      <c r="B488" s="100"/>
      <c r="C488" s="100"/>
      <c r="D488" s="179"/>
      <c r="E488" s="165"/>
      <c r="F488" s="165"/>
      <c r="G488" s="165"/>
      <c r="H488" s="121"/>
      <c r="I488" s="165"/>
      <c r="J488" s="165"/>
      <c r="K488" s="164"/>
      <c r="L488" s="164"/>
      <c r="M488" s="227"/>
      <c r="N488" s="197"/>
      <c r="O488" s="197"/>
      <c r="P488" s="164"/>
      <c r="Q488" s="164"/>
      <c r="R488" s="164"/>
      <c r="S488" s="164"/>
    </row>
    <row r="489" spans="1:39" ht="21">
      <c r="A489" s="118"/>
      <c r="B489" s="118"/>
      <c r="C489" s="118"/>
      <c r="D489" s="118"/>
      <c r="E489" s="118"/>
      <c r="F489" s="118"/>
      <c r="G489" s="223"/>
      <c r="H489" s="118"/>
      <c r="I489" s="118"/>
      <c r="J489" s="118"/>
      <c r="K489" s="118"/>
      <c r="L489" s="118"/>
      <c r="M489" s="208"/>
      <c r="N489" s="118"/>
      <c r="O489" s="118"/>
      <c r="P489" s="118"/>
      <c r="Q489" s="118"/>
      <c r="R489" s="118"/>
      <c r="S489" s="118"/>
    </row>
    <row r="490" spans="1:39" ht="21">
      <c r="A490" s="118"/>
      <c r="B490" s="118"/>
      <c r="C490" s="118"/>
      <c r="D490" s="118"/>
      <c r="E490" s="118"/>
      <c r="F490" s="118"/>
      <c r="G490" s="223"/>
      <c r="H490" s="118"/>
      <c r="I490" s="118"/>
      <c r="J490" s="118"/>
      <c r="K490" s="118"/>
      <c r="L490" s="118"/>
      <c r="M490" s="208"/>
      <c r="N490" s="118"/>
      <c r="O490" s="118"/>
      <c r="P490" s="118"/>
      <c r="Q490" s="118"/>
      <c r="R490" s="118"/>
      <c r="S490" s="118"/>
    </row>
    <row r="491" spans="1:39" ht="21">
      <c r="A491" s="118"/>
      <c r="B491" s="118"/>
      <c r="C491" s="118"/>
      <c r="D491" s="118"/>
      <c r="E491" s="118"/>
      <c r="F491" s="118"/>
      <c r="G491" s="223"/>
      <c r="H491" s="118"/>
      <c r="I491" s="118"/>
      <c r="J491" s="118"/>
      <c r="K491" s="118"/>
      <c r="L491" s="118"/>
      <c r="M491" s="208"/>
      <c r="N491" s="118"/>
      <c r="O491" s="118"/>
      <c r="P491" s="118"/>
      <c r="Q491" s="118"/>
      <c r="R491" s="118"/>
      <c r="S491" s="118"/>
    </row>
    <row r="492" spans="1:39" ht="21">
      <c r="A492" s="100"/>
      <c r="B492" s="100"/>
      <c r="C492" s="100"/>
      <c r="D492" s="100"/>
      <c r="E492" s="100"/>
      <c r="F492" s="118"/>
      <c r="G492" s="223" t="s">
        <v>137</v>
      </c>
      <c r="H492" s="125"/>
      <c r="I492" s="100"/>
      <c r="J492" s="100"/>
      <c r="K492" s="118"/>
      <c r="L492" s="118"/>
      <c r="M492" s="208"/>
      <c r="N492" s="100"/>
      <c r="O492" s="100"/>
      <c r="P492" s="100"/>
      <c r="Q492" s="100"/>
      <c r="R492" s="100"/>
      <c r="S492" s="100"/>
    </row>
    <row r="493" spans="1:39">
      <c r="A493" s="100"/>
      <c r="B493" s="100"/>
      <c r="C493" s="100"/>
      <c r="D493" s="100"/>
      <c r="E493" s="100"/>
      <c r="F493" s="100"/>
      <c r="G493" s="126"/>
      <c r="H493" s="125"/>
      <c r="I493" s="100"/>
      <c r="J493" s="100"/>
      <c r="K493" s="118" t="s">
        <v>134</v>
      </c>
      <c r="L493" s="118"/>
      <c r="M493" s="208"/>
      <c r="N493" s="100" t="s">
        <v>132</v>
      </c>
      <c r="O493" s="100"/>
      <c r="P493" s="100"/>
      <c r="Q493" s="100"/>
      <c r="R493" s="100"/>
      <c r="S493" s="100"/>
      <c r="T493" t="s">
        <v>178</v>
      </c>
    </row>
    <row r="494" spans="1:39">
      <c r="A494" s="100"/>
      <c r="B494" s="100"/>
      <c r="C494" s="100"/>
      <c r="D494" s="100"/>
      <c r="E494" s="100"/>
      <c r="F494" s="100"/>
      <c r="G494" s="100"/>
      <c r="H494" s="100"/>
      <c r="I494" s="100"/>
      <c r="J494" s="100"/>
      <c r="K494" s="123">
        <f>'Volume &amp; CPI forecast'!K10</f>
        <v>39994</v>
      </c>
      <c r="L494" s="123">
        <f>'Volume &amp; CPI forecast'!L10</f>
        <v>40359</v>
      </c>
      <c r="M494" s="235">
        <f>'Volume &amp; CPI forecast'!M10</f>
        <v>40724</v>
      </c>
      <c r="N494" s="123">
        <f>'Volume &amp; CPI forecast'!N10</f>
        <v>41090</v>
      </c>
      <c r="O494" s="123">
        <f>'Volume &amp; CPI forecast'!O10</f>
        <v>41455</v>
      </c>
      <c r="P494" s="123">
        <f>'Volume &amp; CPI forecast'!P10</f>
        <v>41820</v>
      </c>
      <c r="Q494" s="123">
        <f>'Volume &amp; CPI forecast'!Q10</f>
        <v>42185</v>
      </c>
      <c r="R494" s="123">
        <f>'Volume &amp; CPI forecast'!R10</f>
        <v>42551</v>
      </c>
      <c r="S494" s="123">
        <f>'Volume &amp; CPI forecast'!S10</f>
        <v>42916</v>
      </c>
      <c r="T494" s="123">
        <f>'Volume &amp; CPI forecast'!T10</f>
        <v>43281</v>
      </c>
      <c r="U494" s="123">
        <f>'Volume &amp; CPI forecast'!U10</f>
        <v>43646</v>
      </c>
      <c r="V494" s="123">
        <f>'Volume &amp; CPI forecast'!V10</f>
        <v>44012</v>
      </c>
      <c r="W494" s="123">
        <f>'Volume &amp; CPI forecast'!W10</f>
        <v>44377</v>
      </c>
      <c r="X494" s="123">
        <f>'Volume &amp; CPI forecast'!X10</f>
        <v>44742</v>
      </c>
      <c r="Y494" s="123">
        <f>'Volume &amp; CPI forecast'!Y10</f>
        <v>45107</v>
      </c>
      <c r="Z494" s="123">
        <f>'Volume &amp; CPI forecast'!Z10</f>
        <v>45473</v>
      </c>
      <c r="AA494" s="123">
        <f>'Volume &amp; CPI forecast'!AA10</f>
        <v>45838</v>
      </c>
      <c r="AB494" s="123">
        <f>'Volume &amp; CPI forecast'!AB10</f>
        <v>46203</v>
      </c>
      <c r="AC494" s="123">
        <f>'Volume &amp; CPI forecast'!AC10</f>
        <v>46568</v>
      </c>
      <c r="AD494" s="123">
        <f>'Volume &amp; CPI forecast'!AD10</f>
        <v>46934</v>
      </c>
      <c r="AE494" s="123">
        <f>'Volume &amp; CPI forecast'!AE10</f>
        <v>47299</v>
      </c>
      <c r="AF494" s="123">
        <f>'Volume &amp; CPI forecast'!AF10</f>
        <v>47664</v>
      </c>
      <c r="AG494" s="123">
        <f>'Volume &amp; CPI forecast'!AG10</f>
        <v>48029</v>
      </c>
      <c r="AH494" s="123">
        <f>'Volume &amp; CPI forecast'!AH10</f>
        <v>48395</v>
      </c>
      <c r="AI494" s="123">
        <f>'Volume &amp; CPI forecast'!AI10</f>
        <v>0</v>
      </c>
      <c r="AJ494" s="123">
        <f>'Volume &amp; CPI forecast'!AJ10</f>
        <v>0</v>
      </c>
      <c r="AK494" s="123">
        <f>'Volume &amp; CPI forecast'!AK10</f>
        <v>0</v>
      </c>
      <c r="AL494" s="123">
        <f>'Volume &amp; CPI forecast'!AL10</f>
        <v>0</v>
      </c>
      <c r="AM494" s="123">
        <f>'Volume &amp; CPI forecast'!AM10</f>
        <v>0</v>
      </c>
    </row>
    <row r="495" spans="1:39">
      <c r="A495" s="100"/>
      <c r="B495" s="100"/>
      <c r="C495" s="100"/>
      <c r="D495" s="100"/>
      <c r="E495" s="100"/>
      <c r="F495" s="100"/>
      <c r="G495" s="220"/>
      <c r="H495" s="220"/>
      <c r="I495" s="220"/>
      <c r="J495" s="220"/>
      <c r="K495" s="217" t="str">
        <f>'Volume &amp; CPI forecast'!K11</f>
        <v>Actual   $</v>
      </c>
      <c r="L495" s="217" t="str">
        <f>'Volume &amp; CPI forecast'!L11</f>
        <v>Actual   $</v>
      </c>
      <c r="M495" s="236" t="str">
        <f>'Volume &amp; CPI forecast'!M11</f>
        <v>Actual   $</v>
      </c>
      <c r="N495" s="217" t="str">
        <f>'Volume &amp; CPI forecast'!N11</f>
        <v>Bus Plan   $</v>
      </c>
      <c r="O495" s="217" t="str">
        <f>'Volume &amp; CPI forecast'!O11</f>
        <v>Bus Plan   $</v>
      </c>
      <c r="P495" s="217" t="str">
        <f>'Volume &amp; CPI forecast'!P11</f>
        <v>Bus Plan   $</v>
      </c>
      <c r="Q495" s="217" t="str">
        <f>'Volume &amp; CPI forecast'!Q11</f>
        <v>Forecast   $</v>
      </c>
      <c r="R495" s="217" t="str">
        <f>'Volume &amp; CPI forecast'!R11</f>
        <v>Forecast   $</v>
      </c>
      <c r="S495" s="217" t="str">
        <f>'Volume &amp; CPI forecast'!S11</f>
        <v>Forecast   $</v>
      </c>
      <c r="T495" s="217" t="str">
        <f>'Volume &amp; CPI forecast'!T11</f>
        <v>Forecast   $</v>
      </c>
      <c r="U495" s="217" t="str">
        <f>'Volume &amp; CPI forecast'!U11</f>
        <v>Forecast   $</v>
      </c>
      <c r="V495" s="217" t="str">
        <f>'Volume &amp; CPI forecast'!V11</f>
        <v>Forecast   $</v>
      </c>
      <c r="W495" s="217" t="str">
        <f>'Volume &amp; CPI forecast'!W11</f>
        <v>Forecast   $</v>
      </c>
      <c r="X495" s="217" t="str">
        <f>'Volume &amp; CPI forecast'!X11</f>
        <v>Forecast   $</v>
      </c>
      <c r="Y495" s="217" t="str">
        <f>'Volume &amp; CPI forecast'!Y11</f>
        <v>Terminal value</v>
      </c>
      <c r="Z495" s="217">
        <f>'Volume &amp; CPI forecast'!Z11</f>
        <v>0</v>
      </c>
      <c r="AA495" s="217">
        <f>'Volume &amp; CPI forecast'!AA11</f>
        <v>0</v>
      </c>
      <c r="AB495" s="217">
        <f>'Volume &amp; CPI forecast'!AB11</f>
        <v>0</v>
      </c>
      <c r="AC495" s="217">
        <f>'Volume &amp; CPI forecast'!AC11</f>
        <v>0</v>
      </c>
      <c r="AD495" s="217">
        <f>'Volume &amp; CPI forecast'!AD11</f>
        <v>0</v>
      </c>
      <c r="AE495" s="217">
        <f>'Volume &amp; CPI forecast'!AE11</f>
        <v>0</v>
      </c>
      <c r="AF495" s="217">
        <f>'Volume &amp; CPI forecast'!AF11</f>
        <v>0</v>
      </c>
      <c r="AG495" s="217">
        <f>'Volume &amp; CPI forecast'!AG11</f>
        <v>0</v>
      </c>
      <c r="AH495" s="217">
        <f>'Volume &amp; CPI forecast'!AH11</f>
        <v>0</v>
      </c>
      <c r="AI495" s="217">
        <f>'Volume &amp; CPI forecast'!AI11</f>
        <v>0</v>
      </c>
      <c r="AJ495" s="217">
        <f>'Volume &amp; CPI forecast'!AJ11</f>
        <v>0</v>
      </c>
      <c r="AK495" s="217">
        <f>'Volume &amp; CPI forecast'!AK11</f>
        <v>0</v>
      </c>
      <c r="AL495" s="217">
        <f>'Volume &amp; CPI forecast'!AL11</f>
        <v>0</v>
      </c>
      <c r="AM495" s="217">
        <f>'Volume &amp; CPI forecast'!AM11</f>
        <v>0</v>
      </c>
    </row>
    <row r="496" spans="1:39">
      <c r="A496" s="100"/>
      <c r="B496" s="100"/>
      <c r="C496" s="100"/>
      <c r="D496" s="100"/>
      <c r="E496" s="100"/>
      <c r="F496" s="100"/>
      <c r="G496" s="216"/>
      <c r="H496" s="215"/>
      <c r="I496" s="215"/>
      <c r="J496" s="100"/>
      <c r="K496" s="100"/>
      <c r="L496" s="100"/>
      <c r="M496" s="226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</row>
    <row r="497" spans="1:39">
      <c r="A497" s="100"/>
      <c r="B497" s="100"/>
      <c r="C497" s="100"/>
      <c r="D497" s="179"/>
      <c r="E497" s="165"/>
      <c r="F497" s="165"/>
      <c r="G497" s="232"/>
      <c r="H497" s="231"/>
      <c r="I497" s="231"/>
      <c r="J497" s="165"/>
      <c r="K497" s="165"/>
      <c r="L497" s="165"/>
      <c r="M497" s="226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  <c r="AG497" s="165"/>
      <c r="AH497" s="165"/>
      <c r="AI497" s="165"/>
      <c r="AJ497" s="165"/>
      <c r="AK497" s="165"/>
      <c r="AL497" s="165"/>
      <c r="AM497" s="165"/>
    </row>
    <row r="498" spans="1:39" ht="15.75">
      <c r="A498" s="100"/>
      <c r="B498" s="100"/>
      <c r="C498" s="100"/>
      <c r="D498" s="179"/>
      <c r="E498" s="165"/>
      <c r="F498" s="165"/>
      <c r="G498" s="89" t="s">
        <v>81</v>
      </c>
      <c r="H498" s="296" t="s">
        <v>10</v>
      </c>
      <c r="I498" s="211"/>
      <c r="J498" s="210"/>
      <c r="K498" s="164"/>
      <c r="L498" s="164"/>
      <c r="M498" s="227"/>
      <c r="N498" s="164"/>
      <c r="O498" s="164"/>
      <c r="P498" s="164"/>
      <c r="Q498" s="164"/>
      <c r="R498" s="164"/>
      <c r="S498" s="164"/>
      <c r="T498" s="164"/>
      <c r="U498" s="164"/>
      <c r="V498" s="164"/>
      <c r="W498" s="164"/>
      <c r="X498" s="164"/>
      <c r="Y498" s="164"/>
      <c r="Z498" s="164"/>
      <c r="AA498" s="164"/>
      <c r="AB498" s="164"/>
      <c r="AC498" s="164"/>
      <c r="AD498" s="164"/>
      <c r="AE498" s="164"/>
      <c r="AF498" s="164"/>
      <c r="AG498" s="164"/>
      <c r="AH498" s="164"/>
      <c r="AI498" s="164"/>
      <c r="AJ498" s="164"/>
      <c r="AK498" s="164"/>
      <c r="AL498" s="164"/>
      <c r="AM498" s="164"/>
    </row>
    <row r="499" spans="1:39">
      <c r="A499" s="100"/>
      <c r="B499" s="100"/>
      <c r="C499" s="100"/>
      <c r="D499" s="179"/>
      <c r="E499" s="165"/>
      <c r="F499" s="165"/>
      <c r="G499" s="209"/>
      <c r="H499" s="121"/>
      <c r="I499" s="165"/>
      <c r="J499" s="165"/>
      <c r="K499" s="207"/>
      <c r="L499" s="165"/>
      <c r="M499" s="226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  <c r="AJ499" s="165"/>
      <c r="AK499" s="165"/>
      <c r="AL499" s="165"/>
      <c r="AM499" s="165"/>
    </row>
    <row r="500" spans="1:39" ht="12.75" customHeight="1">
      <c r="A500" s="100"/>
      <c r="B500" s="100"/>
      <c r="C500" s="100"/>
      <c r="D500" s="179"/>
      <c r="E500" s="165"/>
      <c r="F500" s="165"/>
      <c r="G500" s="297" t="s">
        <v>38</v>
      </c>
      <c r="H500" s="121"/>
      <c r="I500" s="165"/>
      <c r="J500" s="165"/>
      <c r="K500" s="207"/>
      <c r="L500" s="165"/>
      <c r="M500" s="226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  <c r="AG500" s="165"/>
      <c r="AH500" s="165"/>
      <c r="AI500" s="165"/>
      <c r="AJ500" s="165"/>
      <c r="AK500" s="165"/>
      <c r="AL500" s="165"/>
      <c r="AM500" s="165"/>
    </row>
    <row r="501" spans="1:39">
      <c r="A501" s="100"/>
      <c r="B501" s="100"/>
      <c r="C501" s="100"/>
      <c r="D501" s="179" t="s">
        <v>90</v>
      </c>
      <c r="E501" s="165"/>
      <c r="F501" s="165"/>
      <c r="G501" s="165"/>
      <c r="H501" s="121"/>
      <c r="I501" s="121"/>
      <c r="J501" s="121"/>
      <c r="K501" s="123"/>
      <c r="L501" s="123"/>
      <c r="M501" s="235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  <c r="AA501" s="123"/>
      <c r="AB501" s="123"/>
      <c r="AC501" s="123"/>
      <c r="AD501" s="123"/>
      <c r="AE501" s="123"/>
      <c r="AF501" s="123"/>
      <c r="AG501" s="123"/>
      <c r="AH501" s="123"/>
      <c r="AI501" s="123"/>
      <c r="AJ501" s="123"/>
      <c r="AK501" s="123"/>
      <c r="AL501" s="123"/>
      <c r="AM501" s="123"/>
    </row>
    <row r="502" spans="1:39">
      <c r="A502" s="100"/>
      <c r="B502" s="100"/>
      <c r="C502" s="100"/>
      <c r="D502" s="179" t="str">
        <f t="shared" ref="D502:D507" si="447">$G$500</f>
        <v>Land</v>
      </c>
      <c r="E502" s="165" t="str">
        <f>H498</f>
        <v>Airfield</v>
      </c>
      <c r="F502" s="165"/>
      <c r="G502" s="165" t="s">
        <v>80</v>
      </c>
      <c r="H502" s="121"/>
      <c r="I502" s="165"/>
      <c r="J502" s="165"/>
      <c r="K502" s="528"/>
      <c r="L502" s="528">
        <f>K507</f>
        <v>0</v>
      </c>
      <c r="M502" s="529">
        <f>L507</f>
        <v>0</v>
      </c>
      <c r="N502" s="164">
        <f t="shared" ref="N502:S502" si="448">M507</f>
        <v>0</v>
      </c>
      <c r="O502" s="164">
        <f t="shared" si="448"/>
        <v>78896231.928000003</v>
      </c>
      <c r="P502" s="164">
        <f t="shared" si="448"/>
        <v>80655152.798488006</v>
      </c>
      <c r="Q502" s="164">
        <f t="shared" si="448"/>
        <v>82348911.007256255</v>
      </c>
      <c r="R502" s="164">
        <f t="shared" si="448"/>
        <v>84078238.138408631</v>
      </c>
      <c r="S502" s="164">
        <f t="shared" si="448"/>
        <v>85843881.139315218</v>
      </c>
      <c r="T502" s="164">
        <f t="shared" ref="T502:Y502" si="449">S507</f>
        <v>87646602.643240839</v>
      </c>
      <c r="U502" s="164">
        <f t="shared" si="449"/>
        <v>89837767.709321856</v>
      </c>
      <c r="V502" s="164">
        <f t="shared" si="449"/>
        <v>92083711.902054906</v>
      </c>
      <c r="W502" s="164">
        <f t="shared" si="449"/>
        <v>94385804.699606284</v>
      </c>
      <c r="X502" s="164">
        <f t="shared" si="449"/>
        <v>96745449.817096442</v>
      </c>
      <c r="Y502" s="164">
        <f t="shared" si="449"/>
        <v>99164086.062523857</v>
      </c>
      <c r="Z502" s="164">
        <f t="shared" ref="Z502:AM502" si="450">Y507</f>
        <v>101643188.21408695</v>
      </c>
      <c r="AA502" s="164">
        <f t="shared" si="450"/>
        <v>104184267.91943912</v>
      </c>
      <c r="AB502" s="164">
        <f t="shared" si="450"/>
        <v>106788874.6174251</v>
      </c>
      <c r="AC502" s="164">
        <f t="shared" si="450"/>
        <v>109458596.48286073</v>
      </c>
      <c r="AD502" s="164">
        <f t="shared" si="450"/>
        <v>112195061.39493224</v>
      </c>
      <c r="AE502" s="164">
        <f t="shared" si="450"/>
        <v>114999937.92980555</v>
      </c>
      <c r="AF502" s="164">
        <f t="shared" si="450"/>
        <v>117874936.37805068</v>
      </c>
      <c r="AG502" s="164">
        <f t="shared" si="450"/>
        <v>120821809.78750195</v>
      </c>
      <c r="AH502" s="164">
        <f t="shared" si="450"/>
        <v>123842355.03218949</v>
      </c>
      <c r="AI502" s="164">
        <f t="shared" si="450"/>
        <v>126938413.90799423</v>
      </c>
      <c r="AJ502" s="164">
        <f t="shared" si="450"/>
        <v>130111874.25569408</v>
      </c>
      <c r="AK502" s="164">
        <f t="shared" si="450"/>
        <v>133364671.11208643</v>
      </c>
      <c r="AL502" s="164">
        <f t="shared" si="450"/>
        <v>133364671.11208643</v>
      </c>
      <c r="AM502" s="164">
        <f t="shared" si="450"/>
        <v>133364671.11208643</v>
      </c>
    </row>
    <row r="503" spans="1:39">
      <c r="A503" s="100"/>
      <c r="B503" s="100"/>
      <c r="C503" s="100"/>
      <c r="D503" s="179" t="str">
        <f t="shared" si="447"/>
        <v>Land</v>
      </c>
      <c r="E503" s="165" t="str">
        <f>H498</f>
        <v>Airfield</v>
      </c>
      <c r="F503" s="165"/>
      <c r="G503" s="165" t="s">
        <v>83</v>
      </c>
      <c r="H503" s="121"/>
      <c r="I503" s="165"/>
      <c r="J503" s="165"/>
      <c r="K503" s="528"/>
      <c r="L503" s="528"/>
      <c r="M503" s="529"/>
      <c r="N503" s="164">
        <f t="shared" ref="N503:X503" si="451">SUMIFS(N$9:N$26,$J$9:$J$26,$G500,$K$9:$K$26,$G503)</f>
        <v>0</v>
      </c>
      <c r="O503" s="164">
        <f t="shared" si="451"/>
        <v>102099.99999999999</v>
      </c>
      <c r="P503" s="164">
        <f t="shared" si="451"/>
        <v>0</v>
      </c>
      <c r="Q503" s="164">
        <f t="shared" si="451"/>
        <v>0</v>
      </c>
      <c r="R503" s="164">
        <f t="shared" si="451"/>
        <v>0</v>
      </c>
      <c r="S503" s="164">
        <f t="shared" si="451"/>
        <v>0</v>
      </c>
      <c r="T503" s="164">
        <f t="shared" si="451"/>
        <v>0</v>
      </c>
      <c r="U503" s="164">
        <f t="shared" si="451"/>
        <v>0</v>
      </c>
      <c r="V503" s="164">
        <f t="shared" si="451"/>
        <v>0</v>
      </c>
      <c r="W503" s="164">
        <f t="shared" si="451"/>
        <v>0</v>
      </c>
      <c r="X503" s="164">
        <f t="shared" si="451"/>
        <v>0</v>
      </c>
      <c r="Y503" s="164">
        <f>SUMIFS(Y$9:Y$26,$J$9:$J$26,$G500,$K$9:$K$26,$G503)</f>
        <v>0</v>
      </c>
      <c r="Z503" s="164">
        <f t="shared" ref="Z503:AM503" si="452">SUMIFS(Z$9:Z$26,$J$9:$J$26,$G500,$K$9:$K$26,$G503)</f>
        <v>0</v>
      </c>
      <c r="AA503" s="164">
        <f t="shared" si="452"/>
        <v>0</v>
      </c>
      <c r="AB503" s="164">
        <f t="shared" si="452"/>
        <v>0</v>
      </c>
      <c r="AC503" s="164">
        <f t="shared" si="452"/>
        <v>0</v>
      </c>
      <c r="AD503" s="164">
        <f t="shared" si="452"/>
        <v>0</v>
      </c>
      <c r="AE503" s="164">
        <f t="shared" si="452"/>
        <v>0</v>
      </c>
      <c r="AF503" s="164">
        <f t="shared" si="452"/>
        <v>0</v>
      </c>
      <c r="AG503" s="164">
        <f t="shared" si="452"/>
        <v>0</v>
      </c>
      <c r="AH503" s="164">
        <f t="shared" si="452"/>
        <v>0</v>
      </c>
      <c r="AI503" s="164">
        <f t="shared" si="452"/>
        <v>0</v>
      </c>
      <c r="AJ503" s="164">
        <f t="shared" si="452"/>
        <v>0</v>
      </c>
      <c r="AK503" s="164">
        <f t="shared" si="452"/>
        <v>0</v>
      </c>
      <c r="AL503" s="164">
        <f t="shared" si="452"/>
        <v>0</v>
      </c>
      <c r="AM503" s="164">
        <f t="shared" si="452"/>
        <v>0</v>
      </c>
    </row>
    <row r="504" spans="1:39">
      <c r="A504" s="100"/>
      <c r="B504" s="100"/>
      <c r="C504" s="100"/>
      <c r="D504" s="179" t="str">
        <f t="shared" si="447"/>
        <v>Land</v>
      </c>
      <c r="E504" s="165" t="str">
        <f>H498</f>
        <v>Airfield</v>
      </c>
      <c r="F504" s="165"/>
      <c r="G504" s="165" t="s">
        <v>78</v>
      </c>
      <c r="H504" s="121"/>
      <c r="I504" s="165"/>
      <c r="J504" s="165"/>
      <c r="K504" s="528"/>
      <c r="L504" s="528"/>
      <c r="M504" s="529"/>
      <c r="N504" s="164">
        <f>N119+SUMIFS(N$9:N$26,$J$9:$J$26,$G500,$K$9:$K$26,$G504)</f>
        <v>0</v>
      </c>
      <c r="O504" s="164">
        <f t="shared" ref="O504:X504" si="453">O119+SUMIFS(O$9:O$26,$J$9:$J$26,$G500,$K$9:$K$26,$G504)</f>
        <v>0</v>
      </c>
      <c r="P504" s="164">
        <f t="shared" si="453"/>
        <v>0</v>
      </c>
      <c r="Q504" s="164">
        <f t="shared" si="453"/>
        <v>0</v>
      </c>
      <c r="R504" s="164">
        <f t="shared" si="453"/>
        <v>0</v>
      </c>
      <c r="S504" s="164">
        <f t="shared" si="453"/>
        <v>0</v>
      </c>
      <c r="T504" s="164">
        <f t="shared" si="453"/>
        <v>0</v>
      </c>
      <c r="U504" s="164">
        <f t="shared" si="453"/>
        <v>0</v>
      </c>
      <c r="V504" s="164">
        <f t="shared" si="453"/>
        <v>0</v>
      </c>
      <c r="W504" s="164">
        <f t="shared" si="453"/>
        <v>0</v>
      </c>
      <c r="X504" s="164">
        <f t="shared" si="453"/>
        <v>0</v>
      </c>
      <c r="Y504" s="164">
        <f>Y119+SUMIFS(Y$9:Y$26,$J$9:$J$26,$G500,$K$9:$K$26,$G504)</f>
        <v>0</v>
      </c>
      <c r="Z504" s="164">
        <f t="shared" ref="Z504:AM504" si="454">Z119+SUMIFS(Z$9:Z$26,$J$9:$J$26,$G500,$K$9:$K$26,$G504)</f>
        <v>0</v>
      </c>
      <c r="AA504" s="164">
        <f t="shared" si="454"/>
        <v>0</v>
      </c>
      <c r="AB504" s="164">
        <f t="shared" si="454"/>
        <v>0</v>
      </c>
      <c r="AC504" s="164">
        <f t="shared" si="454"/>
        <v>0</v>
      </c>
      <c r="AD504" s="164">
        <f t="shared" si="454"/>
        <v>0</v>
      </c>
      <c r="AE504" s="164">
        <f t="shared" si="454"/>
        <v>0</v>
      </c>
      <c r="AF504" s="164">
        <f t="shared" si="454"/>
        <v>0</v>
      </c>
      <c r="AG504" s="164">
        <f t="shared" si="454"/>
        <v>0</v>
      </c>
      <c r="AH504" s="164">
        <f t="shared" si="454"/>
        <v>0</v>
      </c>
      <c r="AI504" s="164">
        <f t="shared" si="454"/>
        <v>0</v>
      </c>
      <c r="AJ504" s="164">
        <f t="shared" si="454"/>
        <v>0</v>
      </c>
      <c r="AK504" s="164">
        <f t="shared" si="454"/>
        <v>0</v>
      </c>
      <c r="AL504" s="164">
        <f t="shared" si="454"/>
        <v>0</v>
      </c>
      <c r="AM504" s="164">
        <f t="shared" si="454"/>
        <v>0</v>
      </c>
    </row>
    <row r="505" spans="1:39">
      <c r="A505" s="100"/>
      <c r="B505" s="100"/>
      <c r="C505" s="100"/>
      <c r="D505" s="179" t="str">
        <f t="shared" si="447"/>
        <v>Land</v>
      </c>
      <c r="E505" s="165" t="str">
        <f>H498</f>
        <v>Airfield</v>
      </c>
      <c r="F505" s="165"/>
      <c r="G505" s="165" t="s">
        <v>88</v>
      </c>
      <c r="H505" s="121"/>
      <c r="I505" s="165"/>
      <c r="J505" s="165"/>
      <c r="K505" s="528"/>
      <c r="L505" s="528"/>
      <c r="M505" s="529"/>
      <c r="N505" s="331"/>
      <c r="O505" s="545">
        <f>N507*'Volume &amp; CPI forecast'!O13</f>
        <v>1656820.8704880001</v>
      </c>
      <c r="P505" s="545">
        <f>O507*'Volume &amp; CPI forecast'!P13</f>
        <v>1693758.2087682483</v>
      </c>
      <c r="Q505" s="545">
        <f>P507*'Volume &amp; CPI forecast'!Q13</f>
        <v>1729327.1311523814</v>
      </c>
      <c r="R505" s="545">
        <f>Q507*'Volume &amp; CPI forecast'!R13</f>
        <v>1765643.0009065813</v>
      </c>
      <c r="S505" s="545">
        <f>R507*'Volume &amp; CPI forecast'!S13</f>
        <v>1802721.5039256196</v>
      </c>
      <c r="T505" s="545">
        <f>S507*'Volume &amp; CPI forecast'!T13</f>
        <v>2191165.066081021</v>
      </c>
      <c r="U505" s="545">
        <f>T507*'Volume &amp; CPI forecast'!U13</f>
        <v>2245944.1927330466</v>
      </c>
      <c r="V505" s="545">
        <f>U507*'Volume &amp; CPI forecast'!V13</f>
        <v>2302092.7975513726</v>
      </c>
      <c r="W505" s="545">
        <f>V507*'Volume &amp; CPI forecast'!W13</f>
        <v>2359645.117490157</v>
      </c>
      <c r="X505" s="545">
        <f>W507*'Volume &amp; CPI forecast'!X13</f>
        <v>2418636.245427411</v>
      </c>
      <c r="Y505" s="545">
        <f>X507*'Volume &amp; CPI forecast'!Y13</f>
        <v>2479102.1515630963</v>
      </c>
      <c r="Z505" s="545">
        <f>Y507*'Volume &amp; CPI forecast'!Z13</f>
        <v>2541079.7053521741</v>
      </c>
      <c r="AA505" s="545">
        <f>Z507*'Volume &amp; CPI forecast'!AA13</f>
        <v>2604606.6979859783</v>
      </c>
      <c r="AB505" s="545">
        <f>AA507*'Volume &amp; CPI forecast'!AB13</f>
        <v>2669721.8654356278</v>
      </c>
      <c r="AC505" s="545">
        <f>AB507*'Volume &amp; CPI forecast'!AC13</f>
        <v>2736464.9120715186</v>
      </c>
      <c r="AD505" s="545">
        <f>AC507*'Volume &amp; CPI forecast'!AD13</f>
        <v>2804876.5348733063</v>
      </c>
      <c r="AE505" s="545">
        <f>AD507*'Volume &amp; CPI forecast'!AE13</f>
        <v>2874998.4482451389</v>
      </c>
      <c r="AF505" s="545">
        <f>AE507*'Volume &amp; CPI forecast'!AF13</f>
        <v>2946873.4094512672</v>
      </c>
      <c r="AG505" s="545">
        <f>AF507*'Volume &amp; CPI forecast'!AG13</f>
        <v>3020545.2446875488</v>
      </c>
      <c r="AH505" s="545">
        <f>AG507*'Volume &amp; CPI forecast'!AH13</f>
        <v>3096058.8758047372</v>
      </c>
      <c r="AI505" s="545">
        <f>AH507*'Volume &amp; CPI forecast'!AI13</f>
        <v>3173460.3476998559</v>
      </c>
      <c r="AJ505" s="545">
        <f>AI507*'Volume &amp; CPI forecast'!AJ13</f>
        <v>3252796.8563923519</v>
      </c>
      <c r="AK505" s="545">
        <f>AJ507*'Volume &amp; CPI forecast'!AK13</f>
        <v>0</v>
      </c>
      <c r="AL505" s="545">
        <f>AK507*'Volume &amp; CPI forecast'!AL13</f>
        <v>0</v>
      </c>
      <c r="AM505" s="545">
        <f>AL507*'Volume &amp; CPI forecast'!AM13</f>
        <v>0</v>
      </c>
    </row>
    <row r="506" spans="1:39">
      <c r="A506" s="100"/>
      <c r="B506" s="100"/>
      <c r="C506" s="100"/>
      <c r="D506" s="179" t="str">
        <f t="shared" si="447"/>
        <v>Land</v>
      </c>
      <c r="E506" s="165" t="str">
        <f>H498</f>
        <v>Airfield</v>
      </c>
      <c r="F506" s="165"/>
      <c r="G506" s="165" t="s">
        <v>87</v>
      </c>
      <c r="H506" s="121"/>
      <c r="I506" s="165"/>
      <c r="J506" s="165"/>
      <c r="K506" s="528"/>
      <c r="L506" s="528"/>
      <c r="M506" s="529"/>
      <c r="N506" s="164">
        <f>IF(M502&gt;0,M504/AVERAGE(M502,M507)*N505,0)</f>
        <v>0</v>
      </c>
      <c r="O506" s="164">
        <f t="shared" ref="O506:X506" si="455">IF(N502&gt;0,N504/AVERAGE(N502,N507)*O505,0)</f>
        <v>0</v>
      </c>
      <c r="P506" s="164">
        <f t="shared" si="455"/>
        <v>0</v>
      </c>
      <c r="Q506" s="164">
        <f t="shared" si="455"/>
        <v>0</v>
      </c>
      <c r="R506" s="164">
        <f t="shared" si="455"/>
        <v>0</v>
      </c>
      <c r="S506" s="164">
        <f t="shared" si="455"/>
        <v>0</v>
      </c>
      <c r="T506" s="164">
        <f t="shared" si="455"/>
        <v>0</v>
      </c>
      <c r="U506" s="164">
        <f t="shared" si="455"/>
        <v>0</v>
      </c>
      <c r="V506" s="164">
        <f t="shared" si="455"/>
        <v>0</v>
      </c>
      <c r="W506" s="164">
        <f t="shared" si="455"/>
        <v>0</v>
      </c>
      <c r="X506" s="164">
        <f t="shared" si="455"/>
        <v>0</v>
      </c>
      <c r="Y506" s="164">
        <f t="shared" ref="Y506:AM506" si="456">IF(X502&gt;0,X504/AVERAGE(X502,X507)*Y505,0)</f>
        <v>0</v>
      </c>
      <c r="Z506" s="164">
        <f t="shared" si="456"/>
        <v>0</v>
      </c>
      <c r="AA506" s="164">
        <f t="shared" si="456"/>
        <v>0</v>
      </c>
      <c r="AB506" s="164">
        <f t="shared" si="456"/>
        <v>0</v>
      </c>
      <c r="AC506" s="164">
        <f t="shared" si="456"/>
        <v>0</v>
      </c>
      <c r="AD506" s="164">
        <f t="shared" si="456"/>
        <v>0</v>
      </c>
      <c r="AE506" s="164">
        <f t="shared" si="456"/>
        <v>0</v>
      </c>
      <c r="AF506" s="164">
        <f t="shared" si="456"/>
        <v>0</v>
      </c>
      <c r="AG506" s="164">
        <f t="shared" si="456"/>
        <v>0</v>
      </c>
      <c r="AH506" s="164">
        <f t="shared" si="456"/>
        <v>0</v>
      </c>
      <c r="AI506" s="164">
        <f t="shared" si="456"/>
        <v>0</v>
      </c>
      <c r="AJ506" s="164">
        <f t="shared" si="456"/>
        <v>0</v>
      </c>
      <c r="AK506" s="164">
        <f t="shared" si="456"/>
        <v>0</v>
      </c>
      <c r="AL506" s="164">
        <f t="shared" si="456"/>
        <v>0</v>
      </c>
      <c r="AM506" s="164">
        <f t="shared" si="456"/>
        <v>0</v>
      </c>
    </row>
    <row r="507" spans="1:39">
      <c r="A507" s="100"/>
      <c r="B507" s="100"/>
      <c r="C507" s="100"/>
      <c r="D507" s="179" t="str">
        <f t="shared" si="447"/>
        <v>Land</v>
      </c>
      <c r="E507" s="165" t="str">
        <f>H498</f>
        <v>Airfield</v>
      </c>
      <c r="F507" s="165"/>
      <c r="G507" s="200" t="s">
        <v>76</v>
      </c>
      <c r="H507" s="201"/>
      <c r="I507" s="200"/>
      <c r="J507" s="200"/>
      <c r="K507" s="199">
        <f>K121</f>
        <v>0</v>
      </c>
      <c r="L507" s="199">
        <f>L121</f>
        <v>0</v>
      </c>
      <c r="M507" s="527">
        <f>M121</f>
        <v>0</v>
      </c>
      <c r="N507" s="527">
        <f>N121</f>
        <v>78896231.928000003</v>
      </c>
      <c r="O507" s="198">
        <f t="shared" ref="O507:X507" si="457">SUM(O502:O503,O505)-SUM(O504,O506)</f>
        <v>80655152.798488006</v>
      </c>
      <c r="P507" s="198">
        <f t="shared" si="457"/>
        <v>82348911.007256255</v>
      </c>
      <c r="Q507" s="198">
        <f t="shared" si="457"/>
        <v>84078238.138408631</v>
      </c>
      <c r="R507" s="198">
        <f t="shared" si="457"/>
        <v>85843881.139315218</v>
      </c>
      <c r="S507" s="198">
        <f t="shared" si="457"/>
        <v>87646602.643240839</v>
      </c>
      <c r="T507" s="198">
        <f t="shared" si="457"/>
        <v>89837767.709321856</v>
      </c>
      <c r="U507" s="198">
        <f t="shared" si="457"/>
        <v>92083711.902054906</v>
      </c>
      <c r="V507" s="198">
        <f t="shared" si="457"/>
        <v>94385804.699606284</v>
      </c>
      <c r="W507" s="198">
        <f t="shared" si="457"/>
        <v>96745449.817096442</v>
      </c>
      <c r="X507" s="198">
        <f t="shared" si="457"/>
        <v>99164086.062523857</v>
      </c>
      <c r="Y507" s="198">
        <f>SUM(Y502:Y503,Y505)-SUM(Y504,Y506)</f>
        <v>101643188.21408695</v>
      </c>
      <c r="Z507" s="198">
        <f t="shared" ref="Z507:AM507" si="458">SUM(Z502:Z503,Z505)-SUM(Z504,Z506)</f>
        <v>104184267.91943912</v>
      </c>
      <c r="AA507" s="198">
        <f t="shared" si="458"/>
        <v>106788874.6174251</v>
      </c>
      <c r="AB507" s="198">
        <f t="shared" si="458"/>
        <v>109458596.48286073</v>
      </c>
      <c r="AC507" s="198">
        <f t="shared" si="458"/>
        <v>112195061.39493224</v>
      </c>
      <c r="AD507" s="198">
        <f t="shared" si="458"/>
        <v>114999937.92980555</v>
      </c>
      <c r="AE507" s="198">
        <f t="shared" si="458"/>
        <v>117874936.37805068</v>
      </c>
      <c r="AF507" s="198">
        <f t="shared" si="458"/>
        <v>120821809.78750195</v>
      </c>
      <c r="AG507" s="198">
        <f t="shared" si="458"/>
        <v>123842355.03218949</v>
      </c>
      <c r="AH507" s="198">
        <f t="shared" si="458"/>
        <v>126938413.90799423</v>
      </c>
      <c r="AI507" s="198">
        <f t="shared" si="458"/>
        <v>130111874.25569408</v>
      </c>
      <c r="AJ507" s="198">
        <f t="shared" si="458"/>
        <v>133364671.11208643</v>
      </c>
      <c r="AK507" s="198">
        <f t="shared" si="458"/>
        <v>133364671.11208643</v>
      </c>
      <c r="AL507" s="198">
        <f t="shared" si="458"/>
        <v>133364671.11208643</v>
      </c>
      <c r="AM507" s="198">
        <f t="shared" si="458"/>
        <v>133364671.11208643</v>
      </c>
    </row>
    <row r="508" spans="1:39">
      <c r="A508" s="100"/>
      <c r="B508" s="100"/>
      <c r="C508" s="100"/>
      <c r="D508" s="179"/>
      <c r="E508" s="165"/>
      <c r="F508" s="165"/>
      <c r="G508" s="165"/>
      <c r="H508" s="121"/>
      <c r="I508" s="165"/>
      <c r="J508" s="165"/>
      <c r="K508" s="197"/>
      <c r="L508" s="197"/>
      <c r="M508" s="477"/>
      <c r="N508" s="164"/>
      <c r="O508" s="164"/>
      <c r="P508" s="164"/>
      <c r="Q508" s="164"/>
      <c r="R508" s="164"/>
      <c r="S508" s="164"/>
      <c r="T508" s="164"/>
      <c r="U508" s="164"/>
      <c r="V508" s="164"/>
      <c r="W508" s="164"/>
      <c r="X508" s="164"/>
      <c r="Y508" s="164"/>
      <c r="Z508" s="164"/>
      <c r="AA508" s="164"/>
      <c r="AB508" s="164"/>
      <c r="AC508" s="164"/>
      <c r="AD508" s="164"/>
      <c r="AE508" s="164"/>
      <c r="AF508" s="164"/>
      <c r="AG508" s="164"/>
      <c r="AH508" s="164"/>
      <c r="AI508" s="164"/>
      <c r="AJ508" s="164"/>
      <c r="AK508" s="164"/>
      <c r="AL508" s="164"/>
      <c r="AM508" s="164"/>
    </row>
    <row r="509" spans="1:39">
      <c r="A509" s="100"/>
      <c r="B509" s="100"/>
      <c r="C509" s="100"/>
      <c r="D509" s="179"/>
      <c r="E509" s="165"/>
      <c r="F509" s="165"/>
      <c r="G509" s="206" t="s">
        <v>37</v>
      </c>
      <c r="H509" s="121"/>
      <c r="I509" s="165"/>
      <c r="J509" s="165"/>
      <c r="K509" s="204"/>
      <c r="L509" s="197"/>
      <c r="M509" s="477"/>
      <c r="N509" s="164"/>
      <c r="O509" s="164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  <c r="AA509" s="165"/>
      <c r="AB509" s="165"/>
      <c r="AC509" s="165"/>
      <c r="AD509" s="165"/>
      <c r="AE509" s="165"/>
      <c r="AF509" s="165"/>
      <c r="AG509" s="165"/>
      <c r="AH509" s="165"/>
      <c r="AI509" s="165"/>
      <c r="AJ509" s="165"/>
      <c r="AK509" s="165"/>
      <c r="AL509" s="165"/>
      <c r="AM509" s="165"/>
    </row>
    <row r="510" spans="1:39">
      <c r="A510" s="100"/>
      <c r="B510" s="100"/>
      <c r="C510" s="100"/>
      <c r="D510" s="179"/>
      <c r="E510" s="165"/>
      <c r="F510" s="165"/>
      <c r="G510" s="205"/>
      <c r="H510" s="121"/>
      <c r="I510" s="165"/>
      <c r="J510" s="165"/>
      <c r="K510" s="204"/>
      <c r="L510" s="197"/>
      <c r="M510" s="477"/>
      <c r="N510" s="164"/>
      <c r="O510" s="164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  <c r="AG510" s="165"/>
      <c r="AH510" s="165"/>
      <c r="AI510" s="165"/>
      <c r="AJ510" s="165"/>
      <c r="AK510" s="165"/>
      <c r="AL510" s="165"/>
      <c r="AM510" s="165"/>
    </row>
    <row r="511" spans="1:39">
      <c r="A511" s="100"/>
      <c r="B511" s="100"/>
      <c r="C511" s="100"/>
      <c r="D511" s="179" t="str">
        <f t="shared" ref="D511:D516" si="459">$G$509</f>
        <v>Buildings</v>
      </c>
      <c r="E511" s="165" t="str">
        <f>H498</f>
        <v>Airfield</v>
      </c>
      <c r="F511" s="165"/>
      <c r="G511" s="165" t="s">
        <v>80</v>
      </c>
      <c r="H511" s="121"/>
      <c r="I511" s="165"/>
      <c r="J511" s="165"/>
      <c r="K511" s="528"/>
      <c r="L511" s="528">
        <f>K516</f>
        <v>0</v>
      </c>
      <c r="M511" s="529">
        <f>L516</f>
        <v>0</v>
      </c>
      <c r="N511" s="164">
        <f t="shared" ref="N511:S511" si="460">M516</f>
        <v>0</v>
      </c>
      <c r="O511" s="164">
        <f t="shared" si="460"/>
        <v>1532216.5009612418</v>
      </c>
      <c r="P511" s="164">
        <f t="shared" si="460"/>
        <v>1411171.3973853036</v>
      </c>
      <c r="Q511" s="164">
        <f t="shared" si="460"/>
        <v>1284499.0161454533</v>
      </c>
      <c r="R511" s="164">
        <f t="shared" si="460"/>
        <v>1155185.3917046781</v>
      </c>
      <c r="S511" s="164">
        <f t="shared" si="460"/>
        <v>1023175.5295304017</v>
      </c>
      <c r="T511" s="164">
        <f t="shared" ref="T511:Y511" si="461">S516</f>
        <v>888417.90253257053</v>
      </c>
      <c r="U511" s="164">
        <f t="shared" si="461"/>
        <v>753846.19244836993</v>
      </c>
      <c r="V511" s="164">
        <f t="shared" si="461"/>
        <v>615954.04116766772</v>
      </c>
      <c r="W511" s="164">
        <f t="shared" si="461"/>
        <v>474686.30566931324</v>
      </c>
      <c r="X511" s="164">
        <f t="shared" si="461"/>
        <v>329997.43175527663</v>
      </c>
      <c r="Y511" s="164">
        <f t="shared" si="461"/>
        <v>181883.93959240231</v>
      </c>
      <c r="Z511" s="164">
        <f t="shared" ref="Z511:AM511" si="462">Y516</f>
        <v>183708.86856108296</v>
      </c>
      <c r="AA511" s="164">
        <f t="shared" si="462"/>
        <v>188301.59027511004</v>
      </c>
      <c r="AB511" s="164">
        <f t="shared" si="462"/>
        <v>193009.13003198779</v>
      </c>
      <c r="AC511" s="164">
        <f t="shared" si="462"/>
        <v>197834.35828278749</v>
      </c>
      <c r="AD511" s="164">
        <f t="shared" si="462"/>
        <v>202780.21723985719</v>
      </c>
      <c r="AE511" s="164">
        <f t="shared" si="462"/>
        <v>207849.7226708536</v>
      </c>
      <c r="AF511" s="164">
        <f t="shared" si="462"/>
        <v>213045.96573762494</v>
      </c>
      <c r="AG511" s="164">
        <f t="shared" si="462"/>
        <v>218372.11488106556</v>
      </c>
      <c r="AH511" s="164">
        <f t="shared" si="462"/>
        <v>223831.41775309219</v>
      </c>
      <c r="AI511" s="164">
        <f t="shared" si="462"/>
        <v>229427.20319691949</v>
      </c>
      <c r="AJ511" s="164">
        <f t="shared" si="462"/>
        <v>235162.88327684248</v>
      </c>
      <c r="AK511" s="164">
        <f t="shared" si="462"/>
        <v>241041.95535876355</v>
      </c>
      <c r="AL511" s="164">
        <f t="shared" si="462"/>
        <v>241041.95535876355</v>
      </c>
      <c r="AM511" s="164">
        <f t="shared" si="462"/>
        <v>241041.95535876355</v>
      </c>
    </row>
    <row r="512" spans="1:39">
      <c r="A512" s="100"/>
      <c r="B512" s="100"/>
      <c r="C512" s="100"/>
      <c r="D512" s="179" t="str">
        <f t="shared" si="459"/>
        <v>Buildings</v>
      </c>
      <c r="E512" s="165" t="str">
        <f>H498</f>
        <v>Airfield</v>
      </c>
      <c r="F512" s="165"/>
      <c r="G512" s="165" t="s">
        <v>83</v>
      </c>
      <c r="H512" s="121"/>
      <c r="I512" s="165"/>
      <c r="J512" s="165"/>
      <c r="K512" s="528"/>
      <c r="L512" s="528"/>
      <c r="M512" s="529"/>
      <c r="N512" s="164">
        <f t="shared" ref="N512:X512" si="463">SUMIFS(N$9:N$26,$J$9:$J$26,$G509,$K$9:$K$26,$G512)</f>
        <v>0</v>
      </c>
      <c r="O512" s="164">
        <f t="shared" si="463"/>
        <v>0</v>
      </c>
      <c r="P512" s="164">
        <f t="shared" si="463"/>
        <v>0</v>
      </c>
      <c r="Q512" s="164">
        <f t="shared" si="463"/>
        <v>0</v>
      </c>
      <c r="R512" s="164">
        <f t="shared" si="463"/>
        <v>0</v>
      </c>
      <c r="S512" s="164">
        <f t="shared" si="463"/>
        <v>0</v>
      </c>
      <c r="T512" s="164">
        <f t="shared" si="463"/>
        <v>0</v>
      </c>
      <c r="U512" s="164">
        <f t="shared" si="463"/>
        <v>0</v>
      </c>
      <c r="V512" s="164">
        <f t="shared" si="463"/>
        <v>0</v>
      </c>
      <c r="W512" s="164">
        <f t="shared" si="463"/>
        <v>0</v>
      </c>
      <c r="X512" s="164">
        <f t="shared" si="463"/>
        <v>0</v>
      </c>
      <c r="Y512" s="164">
        <f>SUMIFS(Y$9:Y$26,$J$9:$J$26,$G509,$K$9:$K$26,$G512)</f>
        <v>0</v>
      </c>
      <c r="Z512" s="164">
        <f t="shared" ref="Z512:AM512" si="464">SUMIFS(Z$9:Z$26,$J$9:$J$26,$G509,$K$9:$K$26,$G512)</f>
        <v>0</v>
      </c>
      <c r="AA512" s="164">
        <f t="shared" si="464"/>
        <v>0</v>
      </c>
      <c r="AB512" s="164">
        <f t="shared" si="464"/>
        <v>0</v>
      </c>
      <c r="AC512" s="164">
        <f t="shared" si="464"/>
        <v>0</v>
      </c>
      <c r="AD512" s="164">
        <f t="shared" si="464"/>
        <v>0</v>
      </c>
      <c r="AE512" s="164">
        <f t="shared" si="464"/>
        <v>0</v>
      </c>
      <c r="AF512" s="164">
        <f t="shared" si="464"/>
        <v>0</v>
      </c>
      <c r="AG512" s="164">
        <f t="shared" si="464"/>
        <v>0</v>
      </c>
      <c r="AH512" s="164">
        <f t="shared" si="464"/>
        <v>0</v>
      </c>
      <c r="AI512" s="164">
        <f t="shared" si="464"/>
        <v>0</v>
      </c>
      <c r="AJ512" s="164">
        <f t="shared" si="464"/>
        <v>0</v>
      </c>
      <c r="AK512" s="164">
        <f t="shared" si="464"/>
        <v>0</v>
      </c>
      <c r="AL512" s="164">
        <f t="shared" si="464"/>
        <v>0</v>
      </c>
      <c r="AM512" s="164">
        <f t="shared" si="464"/>
        <v>0</v>
      </c>
    </row>
    <row r="513" spans="1:39">
      <c r="A513" s="100"/>
      <c r="B513" s="100"/>
      <c r="C513" s="100"/>
      <c r="D513" s="179" t="str">
        <f t="shared" si="459"/>
        <v>Buildings</v>
      </c>
      <c r="E513" s="165" t="str">
        <f>H498</f>
        <v>Airfield</v>
      </c>
      <c r="F513" s="165"/>
      <c r="G513" s="165" t="s">
        <v>78</v>
      </c>
      <c r="H513" s="121"/>
      <c r="I513" s="165"/>
      <c r="J513" s="165"/>
      <c r="K513" s="197"/>
      <c r="L513" s="528"/>
      <c r="M513" s="529"/>
      <c r="N513" s="164">
        <f>N128+SUMIFS(N$9:N$26,$J$9:$J$26,$G509,$K$9:$K$26,$G513)</f>
        <v>0</v>
      </c>
      <c r="O513" s="164">
        <f t="shared" ref="O513:X513" si="465">O128+SUMIFS(O$9:O$26,$J$9:$J$26,$G509,$K$9:$K$26,$G513)</f>
        <v>153221.65009612418</v>
      </c>
      <c r="P513" s="164">
        <f t="shared" si="465"/>
        <v>153221.65009612418</v>
      </c>
      <c r="Q513" s="164">
        <f t="shared" si="465"/>
        <v>153221.65009612418</v>
      </c>
      <c r="R513" s="164">
        <f t="shared" si="465"/>
        <v>153221.65009612418</v>
      </c>
      <c r="S513" s="164">
        <f t="shared" si="465"/>
        <v>153221.65009612418</v>
      </c>
      <c r="T513" s="164">
        <f t="shared" si="465"/>
        <v>153221.65009612418</v>
      </c>
      <c r="U513" s="164">
        <f t="shared" si="465"/>
        <v>153221.65009612418</v>
      </c>
      <c r="V513" s="164">
        <f t="shared" si="465"/>
        <v>153221.65009612418</v>
      </c>
      <c r="W513" s="164">
        <f t="shared" si="465"/>
        <v>153221.65009612418</v>
      </c>
      <c r="X513" s="164">
        <f t="shared" si="465"/>
        <v>153221.65009612404</v>
      </c>
      <c r="Y513" s="164">
        <f>Y128+SUMIFS(Y$9:Y$26,$J$9:$J$26,$G509,$K$9:$K$26,$G513)</f>
        <v>0</v>
      </c>
      <c r="Z513" s="164">
        <f t="shared" ref="Z513:AM513" si="466">Z128+SUMIFS(Z$9:Z$26,$J$9:$J$26,$G509,$K$9:$K$26,$G513)</f>
        <v>0</v>
      </c>
      <c r="AA513" s="164">
        <f t="shared" si="466"/>
        <v>0</v>
      </c>
      <c r="AB513" s="164">
        <f t="shared" si="466"/>
        <v>0</v>
      </c>
      <c r="AC513" s="164">
        <f t="shared" si="466"/>
        <v>0</v>
      </c>
      <c r="AD513" s="164">
        <f t="shared" si="466"/>
        <v>0</v>
      </c>
      <c r="AE513" s="164">
        <f t="shared" si="466"/>
        <v>0</v>
      </c>
      <c r="AF513" s="164">
        <f t="shared" si="466"/>
        <v>0</v>
      </c>
      <c r="AG513" s="164">
        <f t="shared" si="466"/>
        <v>0</v>
      </c>
      <c r="AH513" s="164">
        <f t="shared" si="466"/>
        <v>0</v>
      </c>
      <c r="AI513" s="164">
        <f t="shared" si="466"/>
        <v>0</v>
      </c>
      <c r="AJ513" s="164">
        <f t="shared" si="466"/>
        <v>0</v>
      </c>
      <c r="AK513" s="164">
        <f t="shared" si="466"/>
        <v>0</v>
      </c>
      <c r="AL513" s="164">
        <f t="shared" si="466"/>
        <v>0</v>
      </c>
      <c r="AM513" s="164">
        <f t="shared" si="466"/>
        <v>0</v>
      </c>
    </row>
    <row r="514" spans="1:39">
      <c r="A514" s="100"/>
      <c r="B514" s="100"/>
      <c r="C514" s="100"/>
      <c r="D514" s="179" t="str">
        <f t="shared" si="459"/>
        <v>Buildings</v>
      </c>
      <c r="E514" s="165" t="str">
        <f>H498</f>
        <v>Airfield</v>
      </c>
      <c r="F514" s="165"/>
      <c r="G514" s="165" t="s">
        <v>88</v>
      </c>
      <c r="H514" s="121"/>
      <c r="I514" s="165"/>
      <c r="J514" s="165"/>
      <c r="K514" s="197"/>
      <c r="L514" s="197"/>
      <c r="M514" s="477"/>
      <c r="N514" s="230"/>
      <c r="O514" s="230">
        <f>N516*'Volume &amp; CPI forecast'!O13</f>
        <v>32176.546520186079</v>
      </c>
      <c r="P514" s="230">
        <f>O516*'Volume &amp; CPI forecast'!P13</f>
        <v>29634.599345091377</v>
      </c>
      <c r="Q514" s="230">
        <f>P516*'Volume &amp; CPI forecast'!Q13</f>
        <v>26974.47933905452</v>
      </c>
      <c r="R514" s="230">
        <f>Q516*'Volume &amp; CPI forecast'!R13</f>
        <v>24258.893225798241</v>
      </c>
      <c r="S514" s="230">
        <f>R516*'Volume &amp; CPI forecast'!S13</f>
        <v>21486.686120138438</v>
      </c>
      <c r="T514" s="230">
        <f>S516*'Volume &amp; CPI forecast'!T13</f>
        <v>22210.447563314265</v>
      </c>
      <c r="U514" s="230">
        <f>T516*'Volume &amp; CPI forecast'!U13</f>
        <v>18846.15481120925</v>
      </c>
      <c r="V514" s="230">
        <f>U516*'Volume &amp; CPI forecast'!V13</f>
        <v>15398.851029191694</v>
      </c>
      <c r="W514" s="230">
        <f>V516*'Volume &amp; CPI forecast'!W13</f>
        <v>11867.157641732832</v>
      </c>
      <c r="X514" s="230">
        <f>W516*'Volume &amp; CPI forecast'!X13</f>
        <v>8249.9357938819157</v>
      </c>
      <c r="Y514" s="230">
        <f>X516*'Volume &amp; CPI forecast'!Y13</f>
        <v>4547.0984898100578</v>
      </c>
      <c r="Z514" s="230">
        <f>Y516*'Volume &amp; CPI forecast'!Z13</f>
        <v>4592.7217140270741</v>
      </c>
      <c r="AA514" s="230">
        <f>Z516*'Volume &amp; CPI forecast'!AA13</f>
        <v>4707.5397568777507</v>
      </c>
      <c r="AB514" s="230">
        <f>AA516*'Volume &amp; CPI forecast'!AB13</f>
        <v>4825.2282507996952</v>
      </c>
      <c r="AC514" s="230">
        <f>AB516*'Volume &amp; CPI forecast'!AC13</f>
        <v>4945.8589570696877</v>
      </c>
      <c r="AD514" s="230">
        <f>AC516*'Volume &amp; CPI forecast'!AD13</f>
        <v>5069.5054309964298</v>
      </c>
      <c r="AE514" s="230">
        <f>AD516*'Volume &amp; CPI forecast'!AE13</f>
        <v>5196.2430667713406</v>
      </c>
      <c r="AF514" s="230">
        <f>AE516*'Volume &amp; CPI forecast'!AF13</f>
        <v>5326.1491434406234</v>
      </c>
      <c r="AG514" s="230">
        <f>AF516*'Volume &amp; CPI forecast'!AG13</f>
        <v>5459.3028720266393</v>
      </c>
      <c r="AH514" s="230">
        <f>AG516*'Volume &amp; CPI forecast'!AH13</f>
        <v>5595.7854438273052</v>
      </c>
      <c r="AI514" s="230">
        <f>AH516*'Volume &amp; CPI forecast'!AI13</f>
        <v>5735.6800799229877</v>
      </c>
      <c r="AJ514" s="230">
        <f>AI516*'Volume &amp; CPI forecast'!AJ13</f>
        <v>5879.0720819210619</v>
      </c>
      <c r="AK514" s="230">
        <f>AJ516*'Volume &amp; CPI forecast'!AK13</f>
        <v>0</v>
      </c>
      <c r="AL514" s="230">
        <f>AK516*'Volume &amp; CPI forecast'!AL13</f>
        <v>0</v>
      </c>
      <c r="AM514" s="230">
        <f>AL516*'Volume &amp; CPI forecast'!AM13</f>
        <v>0</v>
      </c>
    </row>
    <row r="515" spans="1:39">
      <c r="A515" s="100"/>
      <c r="B515" s="100"/>
      <c r="C515" s="100"/>
      <c r="D515" s="179" t="str">
        <f t="shared" si="459"/>
        <v>Buildings</v>
      </c>
      <c r="E515" s="165" t="str">
        <f>H498</f>
        <v>Airfield</v>
      </c>
      <c r="F515" s="165"/>
      <c r="G515" s="165" t="s">
        <v>87</v>
      </c>
      <c r="H515" s="121"/>
      <c r="I515" s="165"/>
      <c r="J515" s="165"/>
      <c r="K515" s="197"/>
      <c r="L515" s="197">
        <f>[2]OUTPUT!$L$169</f>
        <v>0</v>
      </c>
      <c r="M515" s="477"/>
      <c r="N515" s="164">
        <f t="shared" ref="N515:X515" si="467">IF(M511&gt;0,M513/AVERAGE(M511,M516)*N514,0)</f>
        <v>0</v>
      </c>
      <c r="O515" s="164">
        <f t="shared" si="467"/>
        <v>0</v>
      </c>
      <c r="P515" s="164">
        <f t="shared" si="467"/>
        <v>3085.3304888174266</v>
      </c>
      <c r="Q515" s="164">
        <f t="shared" si="467"/>
        <v>3066.4536837055621</v>
      </c>
      <c r="R515" s="164">
        <f t="shared" si="467"/>
        <v>3047.1053039503036</v>
      </c>
      <c r="S515" s="164">
        <f t="shared" si="467"/>
        <v>3022.6630218453283</v>
      </c>
      <c r="T515" s="164">
        <f t="shared" si="467"/>
        <v>3560.5075513906095</v>
      </c>
      <c r="U515" s="164">
        <f t="shared" si="467"/>
        <v>3516.6559957873328</v>
      </c>
      <c r="V515" s="164">
        <f t="shared" si="467"/>
        <v>3444.9364314220352</v>
      </c>
      <c r="W515" s="164">
        <f t="shared" si="467"/>
        <v>3334.3814596452266</v>
      </c>
      <c r="X515" s="164">
        <f t="shared" si="467"/>
        <v>3141.7778606321745</v>
      </c>
      <c r="Y515" s="164">
        <f t="shared" ref="Y515:AM515" si="468">IF(X511&gt;0,X513/AVERAGE(X511,X516)*Y514,0)</f>
        <v>2722.1695211294191</v>
      </c>
      <c r="Z515" s="164">
        <f t="shared" si="468"/>
        <v>0</v>
      </c>
      <c r="AA515" s="164">
        <f t="shared" si="468"/>
        <v>0</v>
      </c>
      <c r="AB515" s="164">
        <f t="shared" si="468"/>
        <v>0</v>
      </c>
      <c r="AC515" s="164">
        <f t="shared" si="468"/>
        <v>0</v>
      </c>
      <c r="AD515" s="164">
        <f t="shared" si="468"/>
        <v>0</v>
      </c>
      <c r="AE515" s="164">
        <f t="shared" si="468"/>
        <v>0</v>
      </c>
      <c r="AF515" s="164">
        <f t="shared" si="468"/>
        <v>0</v>
      </c>
      <c r="AG515" s="164">
        <f t="shared" si="468"/>
        <v>0</v>
      </c>
      <c r="AH515" s="164">
        <f t="shared" si="468"/>
        <v>0</v>
      </c>
      <c r="AI515" s="164">
        <f t="shared" si="468"/>
        <v>0</v>
      </c>
      <c r="AJ515" s="164">
        <f t="shared" si="468"/>
        <v>0</v>
      </c>
      <c r="AK515" s="164">
        <f t="shared" si="468"/>
        <v>0</v>
      </c>
      <c r="AL515" s="164">
        <f t="shared" si="468"/>
        <v>0</v>
      </c>
      <c r="AM515" s="164">
        <f t="shared" si="468"/>
        <v>0</v>
      </c>
    </row>
    <row r="516" spans="1:39">
      <c r="A516" s="100"/>
      <c r="B516" s="100"/>
      <c r="C516" s="100"/>
      <c r="D516" s="179" t="str">
        <f t="shared" si="459"/>
        <v>Buildings</v>
      </c>
      <c r="E516" s="165" t="str">
        <f>H498</f>
        <v>Airfield</v>
      </c>
      <c r="F516" s="165"/>
      <c r="G516" s="200" t="s">
        <v>76</v>
      </c>
      <c r="H516" s="201"/>
      <c r="I516" s="200"/>
      <c r="J516" s="200"/>
      <c r="K516" s="199">
        <f>K130</f>
        <v>0</v>
      </c>
      <c r="L516" s="199">
        <f>L130</f>
        <v>0</v>
      </c>
      <c r="M516" s="527">
        <f>M130</f>
        <v>0</v>
      </c>
      <c r="N516" s="527">
        <f>N130</f>
        <v>1532216.5009612418</v>
      </c>
      <c r="O516" s="198">
        <f t="shared" ref="O516:X516" si="469">SUM(O511:O512,O514)-SUM(O513,O515)</f>
        <v>1411171.3973853036</v>
      </c>
      <c r="P516" s="198">
        <f t="shared" si="469"/>
        <v>1284499.0161454533</v>
      </c>
      <c r="Q516" s="198">
        <f t="shared" si="469"/>
        <v>1155185.3917046781</v>
      </c>
      <c r="R516" s="198">
        <f t="shared" si="469"/>
        <v>1023175.5295304017</v>
      </c>
      <c r="S516" s="198">
        <f t="shared" si="469"/>
        <v>888417.90253257053</v>
      </c>
      <c r="T516" s="198">
        <f t="shared" si="469"/>
        <v>753846.19244836993</v>
      </c>
      <c r="U516" s="198">
        <f t="shared" si="469"/>
        <v>615954.04116766772</v>
      </c>
      <c r="V516" s="198">
        <f t="shared" si="469"/>
        <v>474686.30566931324</v>
      </c>
      <c r="W516" s="198">
        <f t="shared" si="469"/>
        <v>329997.43175527663</v>
      </c>
      <c r="X516" s="198">
        <f t="shared" si="469"/>
        <v>181883.93959240231</v>
      </c>
      <c r="Y516" s="198">
        <f>SUM(Y511:Y512,Y514)-SUM(Y513,Y515)</f>
        <v>183708.86856108296</v>
      </c>
      <c r="Z516" s="198">
        <f t="shared" ref="Z516:AM516" si="470">SUM(Z511:Z512,Z514)-SUM(Z513,Z515)</f>
        <v>188301.59027511004</v>
      </c>
      <c r="AA516" s="198">
        <f t="shared" si="470"/>
        <v>193009.13003198779</v>
      </c>
      <c r="AB516" s="198">
        <f t="shared" si="470"/>
        <v>197834.35828278749</v>
      </c>
      <c r="AC516" s="198">
        <f t="shared" si="470"/>
        <v>202780.21723985719</v>
      </c>
      <c r="AD516" s="198">
        <f t="shared" si="470"/>
        <v>207849.7226708536</v>
      </c>
      <c r="AE516" s="198">
        <f t="shared" si="470"/>
        <v>213045.96573762494</v>
      </c>
      <c r="AF516" s="198">
        <f t="shared" si="470"/>
        <v>218372.11488106556</v>
      </c>
      <c r="AG516" s="198">
        <f t="shared" si="470"/>
        <v>223831.41775309219</v>
      </c>
      <c r="AH516" s="198">
        <f t="shared" si="470"/>
        <v>229427.20319691949</v>
      </c>
      <c r="AI516" s="198">
        <f t="shared" si="470"/>
        <v>235162.88327684248</v>
      </c>
      <c r="AJ516" s="198">
        <f t="shared" si="470"/>
        <v>241041.95535876355</v>
      </c>
      <c r="AK516" s="198">
        <f t="shared" si="470"/>
        <v>241041.95535876355</v>
      </c>
      <c r="AL516" s="198">
        <f t="shared" si="470"/>
        <v>241041.95535876355</v>
      </c>
      <c r="AM516" s="198">
        <f t="shared" si="470"/>
        <v>241041.95535876355</v>
      </c>
    </row>
    <row r="517" spans="1:39">
      <c r="A517" s="100"/>
      <c r="B517" s="100"/>
      <c r="C517" s="100"/>
      <c r="D517" s="179"/>
      <c r="E517" s="165"/>
      <c r="F517" s="165"/>
      <c r="G517" s="205"/>
      <c r="H517" s="121"/>
      <c r="I517" s="165"/>
      <c r="J517" s="165"/>
      <c r="K517" s="204"/>
      <c r="L517" s="197"/>
      <c r="M517" s="477"/>
      <c r="N517" s="164"/>
      <c r="O517" s="164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</row>
    <row r="518" spans="1:39">
      <c r="A518" s="100"/>
      <c r="B518" s="100"/>
      <c r="C518" s="100"/>
      <c r="D518" s="179"/>
      <c r="E518" s="165"/>
      <c r="F518" s="165"/>
      <c r="G518" s="206" t="s">
        <v>36</v>
      </c>
      <c r="H518" s="121"/>
      <c r="I518" s="165"/>
      <c r="J518" s="165"/>
      <c r="K518" s="204"/>
      <c r="L518" s="197"/>
      <c r="M518" s="477"/>
      <c r="N518" s="164"/>
      <c r="O518" s="164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</row>
    <row r="519" spans="1:39">
      <c r="A519" s="100"/>
      <c r="B519" s="100"/>
      <c r="C519" s="100"/>
      <c r="D519" s="179"/>
      <c r="E519" s="165"/>
      <c r="F519" s="165"/>
      <c r="G519" s="205"/>
      <c r="H519" s="121"/>
      <c r="I519" s="165"/>
      <c r="J519" s="165"/>
      <c r="K519" s="204"/>
      <c r="L519" s="197"/>
      <c r="M519" s="477"/>
      <c r="N519" s="164"/>
      <c r="O519" s="164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  <c r="AA519" s="165"/>
      <c r="AB519" s="165"/>
      <c r="AC519" s="165"/>
      <c r="AD519" s="165"/>
      <c r="AE519" s="165"/>
      <c r="AF519" s="165"/>
      <c r="AG519" s="165"/>
      <c r="AH519" s="165"/>
      <c r="AI519" s="165"/>
      <c r="AJ519" s="165"/>
      <c r="AK519" s="165"/>
      <c r="AL519" s="165"/>
      <c r="AM519" s="165"/>
    </row>
    <row r="520" spans="1:39">
      <c r="A520" s="100"/>
      <c r="B520" s="100"/>
      <c r="C520" s="100"/>
      <c r="D520" s="179" t="str">
        <f t="shared" ref="D520:D525" si="471">$G$518</f>
        <v>Computers &amp; Furniture</v>
      </c>
      <c r="E520" s="165" t="str">
        <f>H498</f>
        <v>Airfield</v>
      </c>
      <c r="F520" s="165"/>
      <c r="G520" s="165" t="s">
        <v>80</v>
      </c>
      <c r="H520" s="121"/>
      <c r="I520" s="165"/>
      <c r="J520" s="165"/>
      <c r="K520" s="530"/>
      <c r="L520" s="528"/>
      <c r="M520" s="529"/>
      <c r="N520" s="287">
        <f t="shared" ref="N520:X520" si="472">M525</f>
        <v>0</v>
      </c>
      <c r="O520" s="287">
        <f t="shared" si="472"/>
        <v>789283.64138773188</v>
      </c>
      <c r="P520" s="287">
        <f t="shared" si="472"/>
        <v>869629.21589343844</v>
      </c>
      <c r="Q520" s="287">
        <f t="shared" si="472"/>
        <v>844905.24780318304</v>
      </c>
      <c r="R520" s="287">
        <f t="shared" si="472"/>
        <v>842791.27475608361</v>
      </c>
      <c r="S520" s="287">
        <f t="shared" si="472"/>
        <v>688545.1234125304</v>
      </c>
      <c r="T520" s="287">
        <f t="shared" si="472"/>
        <v>869445.98871705099</v>
      </c>
      <c r="U520" s="287">
        <f t="shared" si="472"/>
        <v>591932.45414708822</v>
      </c>
      <c r="V520" s="287">
        <f t="shared" si="472"/>
        <v>388236.45299721486</v>
      </c>
      <c r="W520" s="287">
        <f t="shared" si="472"/>
        <v>257734.25477437896</v>
      </c>
      <c r="X520" s="287">
        <f t="shared" si="472"/>
        <v>179318.62639287853</v>
      </c>
      <c r="Y520" s="287">
        <f t="shared" ref="Y520:AM520" si="473">X525</f>
        <v>137643.85944423737</v>
      </c>
      <c r="Z520" s="287">
        <f t="shared" si="473"/>
        <v>98050.749788718196</v>
      </c>
      <c r="AA520" s="287">
        <f t="shared" si="473"/>
        <v>60902.552913467276</v>
      </c>
      <c r="AB520" s="287">
        <f t="shared" si="473"/>
        <v>29647.822037791444</v>
      </c>
      <c r="AC520" s="287">
        <f t="shared" si="473"/>
        <v>7.2759576141834259E-11</v>
      </c>
      <c r="AD520" s="287">
        <f t="shared" si="473"/>
        <v>7.2759576141834259E-11</v>
      </c>
      <c r="AE520" s="287">
        <f t="shared" si="473"/>
        <v>7.2759576141834259E-11</v>
      </c>
      <c r="AF520" s="287">
        <f t="shared" si="473"/>
        <v>7.2759576141834259E-11</v>
      </c>
      <c r="AG520" s="287">
        <f t="shared" si="473"/>
        <v>7.2759576141834259E-11</v>
      </c>
      <c r="AH520" s="287">
        <f t="shared" si="473"/>
        <v>7.2759576141834259E-11</v>
      </c>
      <c r="AI520" s="287">
        <f t="shared" si="473"/>
        <v>7.2759576141834259E-11</v>
      </c>
      <c r="AJ520" s="287">
        <f t="shared" si="473"/>
        <v>7.2759576141834259E-11</v>
      </c>
      <c r="AK520" s="287">
        <f t="shared" si="473"/>
        <v>7.2759576141834259E-11</v>
      </c>
      <c r="AL520" s="287">
        <f t="shared" si="473"/>
        <v>7.2759576141834259E-11</v>
      </c>
      <c r="AM520" s="287">
        <f t="shared" si="473"/>
        <v>7.2759576141834259E-11</v>
      </c>
    </row>
    <row r="521" spans="1:39">
      <c r="A521" s="100"/>
      <c r="B521" s="100"/>
      <c r="C521" s="100"/>
      <c r="D521" s="179" t="str">
        <f t="shared" si="471"/>
        <v>Computers &amp; Furniture</v>
      </c>
      <c r="E521" s="165" t="str">
        <f>H498</f>
        <v>Airfield</v>
      </c>
      <c r="F521" s="165"/>
      <c r="G521" s="165" t="s">
        <v>83</v>
      </c>
      <c r="H521" s="121"/>
      <c r="I521" s="165"/>
      <c r="J521" s="165"/>
      <c r="K521" s="528"/>
      <c r="L521" s="528"/>
      <c r="M521" s="529"/>
      <c r="N521" s="164">
        <f t="shared" ref="N521:X521" si="474">SUMIFS(N$9:N$26,$J$9:$J$26,$G518,$K$9:$K$26,$G521)</f>
        <v>0</v>
      </c>
      <c r="O521" s="164">
        <f t="shared" si="474"/>
        <v>300451.82097167405</v>
      </c>
      <c r="P521" s="164">
        <f t="shared" si="474"/>
        <v>249495.17556837108</v>
      </c>
      <c r="Q521" s="164">
        <f t="shared" si="474"/>
        <v>346625.48659093096</v>
      </c>
      <c r="R521" s="164">
        <f t="shared" si="474"/>
        <v>256110.59338353405</v>
      </c>
      <c r="S521" s="164">
        <f t="shared" si="474"/>
        <v>688528.80690755195</v>
      </c>
      <c r="T521" s="164">
        <f t="shared" si="474"/>
        <v>0</v>
      </c>
      <c r="U521" s="164">
        <f t="shared" si="474"/>
        <v>0</v>
      </c>
      <c r="V521" s="164">
        <f t="shared" si="474"/>
        <v>0</v>
      </c>
      <c r="W521" s="164">
        <f t="shared" si="474"/>
        <v>0</v>
      </c>
      <c r="X521" s="164">
        <f t="shared" si="474"/>
        <v>0</v>
      </c>
      <c r="Y521" s="164">
        <f>SUMIFS(Y$9:Y$26,$J$9:$J$26,$G518,$K$9:$K$26,$G521)</f>
        <v>0</v>
      </c>
      <c r="Z521" s="164">
        <f t="shared" ref="Z521:AM521" si="475">SUMIFS(Z$9:Z$26,$J$9:$J$26,$G518,$K$9:$K$26,$G521)</f>
        <v>0</v>
      </c>
      <c r="AA521" s="164">
        <f t="shared" si="475"/>
        <v>0</v>
      </c>
      <c r="AB521" s="164">
        <f t="shared" si="475"/>
        <v>0</v>
      </c>
      <c r="AC521" s="164">
        <f t="shared" si="475"/>
        <v>0</v>
      </c>
      <c r="AD521" s="164">
        <f t="shared" si="475"/>
        <v>0</v>
      </c>
      <c r="AE521" s="164">
        <f t="shared" si="475"/>
        <v>0</v>
      </c>
      <c r="AF521" s="164">
        <f t="shared" si="475"/>
        <v>0</v>
      </c>
      <c r="AG521" s="164">
        <f t="shared" si="475"/>
        <v>0</v>
      </c>
      <c r="AH521" s="164">
        <f t="shared" si="475"/>
        <v>0</v>
      </c>
      <c r="AI521" s="164">
        <f t="shared" si="475"/>
        <v>0</v>
      </c>
      <c r="AJ521" s="164">
        <f t="shared" si="475"/>
        <v>0</v>
      </c>
      <c r="AK521" s="164">
        <f t="shared" si="475"/>
        <v>0</v>
      </c>
      <c r="AL521" s="164">
        <f t="shared" si="475"/>
        <v>0</v>
      </c>
      <c r="AM521" s="164">
        <f t="shared" si="475"/>
        <v>0</v>
      </c>
    </row>
    <row r="522" spans="1:39">
      <c r="A522" s="100"/>
      <c r="B522" s="100"/>
      <c r="C522" s="100"/>
      <c r="D522" s="179" t="str">
        <f t="shared" si="471"/>
        <v>Computers &amp; Furniture</v>
      </c>
      <c r="E522" s="165" t="str">
        <f>H498</f>
        <v>Airfield</v>
      </c>
      <c r="F522" s="165"/>
      <c r="G522" s="165" t="s">
        <v>78</v>
      </c>
      <c r="H522" s="121"/>
      <c r="I522" s="165"/>
      <c r="J522" s="165"/>
      <c r="K522" s="528"/>
      <c r="L522" s="528"/>
      <c r="M522" s="529"/>
      <c r="N522" s="164">
        <f>N137+SUMIFS(N$9:N$26,$J$9:$J$26,$G518,$K$9:$K$26,$G522)</f>
        <v>0</v>
      </c>
      <c r="O522" s="164">
        <f t="shared" ref="O522:X522" si="476">O137+SUMIFS(O$9:O$26,$J$9:$J$26,$G518,$K$9:$K$26,$G522)</f>
        <v>220106.24646596762</v>
      </c>
      <c r="P522" s="164">
        <f t="shared" si="476"/>
        <v>274219.14365862659</v>
      </c>
      <c r="Q522" s="164">
        <f t="shared" si="476"/>
        <v>348739.45963803038</v>
      </c>
      <c r="R522" s="164">
        <f t="shared" si="476"/>
        <v>410356.74472708721</v>
      </c>
      <c r="S522" s="164">
        <f t="shared" si="476"/>
        <v>507627.94160303118</v>
      </c>
      <c r="T522" s="164">
        <f t="shared" si="476"/>
        <v>277513.53456996277</v>
      </c>
      <c r="U522" s="164">
        <f t="shared" si="476"/>
        <v>203696.00114987334</v>
      </c>
      <c r="V522" s="164">
        <f t="shared" si="476"/>
        <v>130502.1982228359</v>
      </c>
      <c r="W522" s="164">
        <f t="shared" si="476"/>
        <v>78415.628381500428</v>
      </c>
      <c r="X522" s="164">
        <f t="shared" si="476"/>
        <v>41674.766948641169</v>
      </c>
      <c r="Y522" s="164">
        <f>Y137+SUMIFS(Y$9:Y$26,$J$9:$J$26,$G518,$K$9:$K$26,$G522)</f>
        <v>39593.109655519176</v>
      </c>
      <c r="Z522" s="164">
        <f t="shared" ref="Z522:AM522" si="477">Z137+SUMIFS(Z$9:Z$26,$J$9:$J$26,$G518,$K$9:$K$26,$G522)</f>
        <v>37148.19687525092</v>
      </c>
      <c r="AA522" s="164">
        <f t="shared" si="477"/>
        <v>31254.730875675832</v>
      </c>
      <c r="AB522" s="164">
        <f t="shared" si="477"/>
        <v>29647.822037791371</v>
      </c>
      <c r="AC522" s="164">
        <f t="shared" si="477"/>
        <v>0</v>
      </c>
      <c r="AD522" s="164">
        <f t="shared" si="477"/>
        <v>0</v>
      </c>
      <c r="AE522" s="164">
        <f t="shared" si="477"/>
        <v>0</v>
      </c>
      <c r="AF522" s="164">
        <f t="shared" si="477"/>
        <v>0</v>
      </c>
      <c r="AG522" s="164">
        <f t="shared" si="477"/>
        <v>0</v>
      </c>
      <c r="AH522" s="164">
        <f t="shared" si="477"/>
        <v>0</v>
      </c>
      <c r="AI522" s="164">
        <f t="shared" si="477"/>
        <v>0</v>
      </c>
      <c r="AJ522" s="164">
        <f t="shared" si="477"/>
        <v>0</v>
      </c>
      <c r="AK522" s="164">
        <f t="shared" si="477"/>
        <v>0</v>
      </c>
      <c r="AL522" s="164">
        <f t="shared" si="477"/>
        <v>0</v>
      </c>
      <c r="AM522" s="164">
        <f t="shared" si="477"/>
        <v>0</v>
      </c>
    </row>
    <row r="523" spans="1:39">
      <c r="A523" s="100"/>
      <c r="B523" s="100"/>
      <c r="C523" s="100"/>
      <c r="D523" s="179" t="str">
        <f t="shared" si="471"/>
        <v>Computers &amp; Furniture</v>
      </c>
      <c r="E523" s="165" t="str">
        <f>H498</f>
        <v>Airfield</v>
      </c>
      <c r="F523" s="165"/>
      <c r="G523" s="165" t="s">
        <v>88</v>
      </c>
      <c r="H523" s="121"/>
      <c r="I523" s="165"/>
      <c r="J523" s="165"/>
      <c r="K523" s="528"/>
      <c r="L523" s="528"/>
      <c r="M523" s="529"/>
      <c r="N523" s="230"/>
      <c r="O523" s="230"/>
      <c r="P523" s="230"/>
      <c r="Q523" s="230"/>
      <c r="R523" s="230"/>
      <c r="S523" s="230"/>
      <c r="T523" s="230"/>
      <c r="U523" s="230"/>
      <c r="V523" s="230"/>
      <c r="W523" s="230"/>
      <c r="X523" s="230"/>
      <c r="Y523" s="230"/>
      <c r="Z523" s="230"/>
      <c r="AA523" s="230"/>
      <c r="AB523" s="230"/>
      <c r="AC523" s="230"/>
      <c r="AD523" s="230"/>
      <c r="AE523" s="230"/>
      <c r="AF523" s="230"/>
      <c r="AG523" s="230"/>
      <c r="AH523" s="230"/>
      <c r="AI523" s="230"/>
      <c r="AJ523" s="230"/>
      <c r="AK523" s="230"/>
      <c r="AL523" s="230"/>
      <c r="AM523" s="230"/>
    </row>
    <row r="524" spans="1:39">
      <c r="A524" s="100"/>
      <c r="B524" s="100"/>
      <c r="C524" s="100"/>
      <c r="D524" s="179" t="str">
        <f t="shared" si="471"/>
        <v>Computers &amp; Furniture</v>
      </c>
      <c r="E524" s="165" t="str">
        <f>H498</f>
        <v>Airfield</v>
      </c>
      <c r="F524" s="165"/>
      <c r="G524" s="165" t="s">
        <v>87</v>
      </c>
      <c r="H524" s="121"/>
      <c r="I524" s="165"/>
      <c r="J524" s="165"/>
      <c r="K524" s="528"/>
      <c r="L524" s="528"/>
      <c r="M524" s="529"/>
      <c r="N524" s="164">
        <f t="shared" ref="N524:X524" si="478">IF(M520&gt;0,M522/AVERAGE(M520,M525)*N523,0)</f>
        <v>0</v>
      </c>
      <c r="O524" s="164">
        <f t="shared" si="478"/>
        <v>0</v>
      </c>
      <c r="P524" s="164">
        <f t="shared" si="478"/>
        <v>0</v>
      </c>
      <c r="Q524" s="164">
        <f t="shared" si="478"/>
        <v>0</v>
      </c>
      <c r="R524" s="164">
        <f t="shared" si="478"/>
        <v>0</v>
      </c>
      <c r="S524" s="164">
        <f t="shared" si="478"/>
        <v>0</v>
      </c>
      <c r="T524" s="164">
        <f t="shared" si="478"/>
        <v>0</v>
      </c>
      <c r="U524" s="164">
        <f t="shared" si="478"/>
        <v>0</v>
      </c>
      <c r="V524" s="164">
        <f t="shared" si="478"/>
        <v>0</v>
      </c>
      <c r="W524" s="164">
        <f t="shared" si="478"/>
        <v>0</v>
      </c>
      <c r="X524" s="164">
        <f t="shared" si="478"/>
        <v>0</v>
      </c>
      <c r="Y524" s="164">
        <f t="shared" ref="Y524:AM524" si="479">IF(X520&gt;0,X522/AVERAGE(X520,X525)*Y523,0)</f>
        <v>0</v>
      </c>
      <c r="Z524" s="164">
        <f t="shared" si="479"/>
        <v>0</v>
      </c>
      <c r="AA524" s="164">
        <f t="shared" si="479"/>
        <v>0</v>
      </c>
      <c r="AB524" s="164">
        <f t="shared" si="479"/>
        <v>0</v>
      </c>
      <c r="AC524" s="164">
        <f t="shared" si="479"/>
        <v>0</v>
      </c>
      <c r="AD524" s="164">
        <f t="shared" si="479"/>
        <v>0</v>
      </c>
      <c r="AE524" s="164">
        <f t="shared" si="479"/>
        <v>0</v>
      </c>
      <c r="AF524" s="164">
        <f t="shared" si="479"/>
        <v>0</v>
      </c>
      <c r="AG524" s="164">
        <f t="shared" si="479"/>
        <v>0</v>
      </c>
      <c r="AH524" s="164">
        <f t="shared" si="479"/>
        <v>0</v>
      </c>
      <c r="AI524" s="164">
        <f t="shared" si="479"/>
        <v>0</v>
      </c>
      <c r="AJ524" s="164">
        <f t="shared" si="479"/>
        <v>0</v>
      </c>
      <c r="AK524" s="164">
        <f t="shared" si="479"/>
        <v>0</v>
      </c>
      <c r="AL524" s="164">
        <f t="shared" si="479"/>
        <v>0</v>
      </c>
      <c r="AM524" s="164">
        <f t="shared" si="479"/>
        <v>0</v>
      </c>
    </row>
    <row r="525" spans="1:39">
      <c r="A525" s="100"/>
      <c r="B525" s="100"/>
      <c r="C525" s="100"/>
      <c r="D525" s="179" t="str">
        <f t="shared" si="471"/>
        <v>Computers &amp; Furniture</v>
      </c>
      <c r="E525" s="165" t="str">
        <f>H498</f>
        <v>Airfield</v>
      </c>
      <c r="F525" s="165"/>
      <c r="G525" s="200" t="s">
        <v>76</v>
      </c>
      <c r="H525" s="201"/>
      <c r="I525" s="200"/>
      <c r="J525" s="200"/>
      <c r="K525" s="199">
        <f>K139</f>
        <v>0</v>
      </c>
      <c r="L525" s="199">
        <f>L139</f>
        <v>0</v>
      </c>
      <c r="M525" s="527">
        <f>M139</f>
        <v>0</v>
      </c>
      <c r="N525" s="527">
        <f>N139</f>
        <v>789283.64138773188</v>
      </c>
      <c r="O525" s="198">
        <f t="shared" ref="O525:X525" si="480">SUM(O520:O521,O523)-SUM(O522,O524)</f>
        <v>869629.21589343844</v>
      </c>
      <c r="P525" s="198">
        <f t="shared" si="480"/>
        <v>844905.24780318304</v>
      </c>
      <c r="Q525" s="198">
        <f t="shared" si="480"/>
        <v>842791.27475608361</v>
      </c>
      <c r="R525" s="198">
        <f t="shared" si="480"/>
        <v>688545.1234125304</v>
      </c>
      <c r="S525" s="198">
        <f t="shared" si="480"/>
        <v>869445.98871705099</v>
      </c>
      <c r="T525" s="198">
        <f t="shared" si="480"/>
        <v>591932.45414708822</v>
      </c>
      <c r="U525" s="198">
        <f t="shared" si="480"/>
        <v>388236.45299721486</v>
      </c>
      <c r="V525" s="198">
        <f t="shared" si="480"/>
        <v>257734.25477437896</v>
      </c>
      <c r="W525" s="198">
        <f t="shared" si="480"/>
        <v>179318.62639287853</v>
      </c>
      <c r="X525" s="198">
        <f t="shared" si="480"/>
        <v>137643.85944423737</v>
      </c>
      <c r="Y525" s="198">
        <f>SUM(Y520:Y521,Y523)-SUM(Y522,Y524)</f>
        <v>98050.749788718196</v>
      </c>
      <c r="Z525" s="198">
        <f t="shared" ref="Z525:AM525" si="481">SUM(Z520:Z521,Z523)-SUM(Z522,Z524)</f>
        <v>60902.552913467276</v>
      </c>
      <c r="AA525" s="198">
        <f t="shared" si="481"/>
        <v>29647.822037791444</v>
      </c>
      <c r="AB525" s="198">
        <f t="shared" si="481"/>
        <v>7.2759576141834259E-11</v>
      </c>
      <c r="AC525" s="198">
        <f t="shared" si="481"/>
        <v>7.2759576141834259E-11</v>
      </c>
      <c r="AD525" s="198">
        <f t="shared" si="481"/>
        <v>7.2759576141834259E-11</v>
      </c>
      <c r="AE525" s="198">
        <f t="shared" si="481"/>
        <v>7.2759576141834259E-11</v>
      </c>
      <c r="AF525" s="198">
        <f t="shared" si="481"/>
        <v>7.2759576141834259E-11</v>
      </c>
      <c r="AG525" s="198">
        <f t="shared" si="481"/>
        <v>7.2759576141834259E-11</v>
      </c>
      <c r="AH525" s="198">
        <f t="shared" si="481"/>
        <v>7.2759576141834259E-11</v>
      </c>
      <c r="AI525" s="198">
        <f t="shared" si="481"/>
        <v>7.2759576141834259E-11</v>
      </c>
      <c r="AJ525" s="198">
        <f t="shared" si="481"/>
        <v>7.2759576141834259E-11</v>
      </c>
      <c r="AK525" s="198">
        <f t="shared" si="481"/>
        <v>7.2759576141834259E-11</v>
      </c>
      <c r="AL525" s="198">
        <f t="shared" si="481"/>
        <v>7.2759576141834259E-11</v>
      </c>
      <c r="AM525" s="198">
        <f t="shared" si="481"/>
        <v>7.2759576141834259E-11</v>
      </c>
    </row>
    <row r="526" spans="1:39">
      <c r="A526" s="100"/>
      <c r="B526" s="100"/>
      <c r="C526" s="100"/>
      <c r="D526" s="179"/>
      <c r="E526" s="165"/>
      <c r="F526" s="165"/>
      <c r="G526" s="205"/>
      <c r="H526" s="121"/>
      <c r="I526" s="165"/>
      <c r="J526" s="165"/>
      <c r="K526" s="204"/>
      <c r="L526" s="197"/>
      <c r="M526" s="477"/>
      <c r="N526" s="164"/>
      <c r="O526" s="164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  <c r="AA526" s="165"/>
      <c r="AB526" s="165"/>
      <c r="AC526" s="165"/>
      <c r="AD526" s="165"/>
      <c r="AE526" s="165"/>
      <c r="AF526" s="165"/>
      <c r="AG526" s="165"/>
      <c r="AH526" s="165"/>
      <c r="AI526" s="165"/>
      <c r="AJ526" s="165"/>
      <c r="AK526" s="165"/>
      <c r="AL526" s="165"/>
      <c r="AM526" s="165"/>
    </row>
    <row r="527" spans="1:39">
      <c r="A527" s="100"/>
      <c r="B527" s="100"/>
      <c r="C527" s="100"/>
      <c r="D527" s="179"/>
      <c r="E527" s="165"/>
      <c r="F527" s="165"/>
      <c r="G527" s="206" t="s">
        <v>35</v>
      </c>
      <c r="H527" s="121"/>
      <c r="I527" s="165"/>
      <c r="J527" s="165"/>
      <c r="K527" s="204"/>
      <c r="L527" s="197"/>
      <c r="M527" s="477"/>
      <c r="N527" s="164"/>
      <c r="O527" s="164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  <c r="AA527" s="165"/>
      <c r="AB527" s="165"/>
      <c r="AC527" s="165"/>
      <c r="AD527" s="165"/>
      <c r="AE527" s="165"/>
      <c r="AF527" s="165"/>
      <c r="AG527" s="165"/>
      <c r="AH527" s="165"/>
      <c r="AI527" s="165"/>
      <c r="AJ527" s="165"/>
      <c r="AK527" s="165"/>
      <c r="AL527" s="165"/>
      <c r="AM527" s="165"/>
    </row>
    <row r="528" spans="1:39">
      <c r="A528" s="100"/>
      <c r="B528" s="100"/>
      <c r="C528" s="100"/>
      <c r="D528" s="179"/>
      <c r="E528" s="165"/>
      <c r="F528" s="165"/>
      <c r="G528" s="205"/>
      <c r="H528" s="121"/>
      <c r="I528" s="165"/>
      <c r="J528" s="165"/>
      <c r="K528" s="204"/>
      <c r="L528" s="197"/>
      <c r="M528" s="477"/>
      <c r="N528" s="164"/>
      <c r="O528" s="164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  <c r="AG528" s="165"/>
      <c r="AH528" s="165"/>
      <c r="AI528" s="165"/>
      <c r="AJ528" s="165"/>
      <c r="AK528" s="165"/>
      <c r="AL528" s="165"/>
      <c r="AM528" s="165"/>
    </row>
    <row r="529" spans="1:39">
      <c r="A529" s="100"/>
      <c r="B529" s="100"/>
      <c r="C529" s="100"/>
      <c r="D529" s="179" t="str">
        <f t="shared" ref="D529:D534" si="482">$G$527</f>
        <v>Motor vehicles</v>
      </c>
      <c r="E529" s="165" t="str">
        <f>H498</f>
        <v>Airfield</v>
      </c>
      <c r="F529" s="165"/>
      <c r="G529" s="165" t="s">
        <v>80</v>
      </c>
      <c r="H529" s="121"/>
      <c r="I529" s="165"/>
      <c r="J529" s="165"/>
      <c r="K529" s="530"/>
      <c r="L529" s="530">
        <f>L534</f>
        <v>0</v>
      </c>
      <c r="M529" s="531"/>
      <c r="N529" s="164">
        <f t="shared" ref="N529:S529" si="483">M534</f>
        <v>0</v>
      </c>
      <c r="O529" s="164">
        <f t="shared" si="483"/>
        <v>3278838</v>
      </c>
      <c r="P529" s="164">
        <f t="shared" si="483"/>
        <v>2950954.2</v>
      </c>
      <c r="Q529" s="164">
        <f t="shared" si="483"/>
        <v>2623070.4000000004</v>
      </c>
      <c r="R529" s="164">
        <f t="shared" si="483"/>
        <v>2295186.6000000006</v>
      </c>
      <c r="S529" s="164">
        <f t="shared" si="483"/>
        <v>1967302.8000000005</v>
      </c>
      <c r="T529" s="164">
        <f t="shared" ref="T529:Y529" si="484">S534</f>
        <v>1639419.0000000005</v>
      </c>
      <c r="U529" s="164">
        <f t="shared" si="484"/>
        <v>1311535.2000000004</v>
      </c>
      <c r="V529" s="164">
        <f t="shared" si="484"/>
        <v>983651.40000000037</v>
      </c>
      <c r="W529" s="164">
        <f t="shared" si="484"/>
        <v>655767.60000000033</v>
      </c>
      <c r="X529" s="164">
        <f t="shared" si="484"/>
        <v>327883.80000000034</v>
      </c>
      <c r="Y529" s="164">
        <f t="shared" si="484"/>
        <v>0</v>
      </c>
      <c r="Z529" s="164">
        <f t="shared" ref="Z529:AM529" si="485">Y534</f>
        <v>0</v>
      </c>
      <c r="AA529" s="164">
        <f t="shared" si="485"/>
        <v>0</v>
      </c>
      <c r="AB529" s="164">
        <f t="shared" si="485"/>
        <v>0</v>
      </c>
      <c r="AC529" s="164">
        <f t="shared" si="485"/>
        <v>0</v>
      </c>
      <c r="AD529" s="164">
        <f t="shared" si="485"/>
        <v>0</v>
      </c>
      <c r="AE529" s="164">
        <f t="shared" si="485"/>
        <v>0</v>
      </c>
      <c r="AF529" s="164">
        <f t="shared" si="485"/>
        <v>0</v>
      </c>
      <c r="AG529" s="164">
        <f t="shared" si="485"/>
        <v>0</v>
      </c>
      <c r="AH529" s="164">
        <f t="shared" si="485"/>
        <v>0</v>
      </c>
      <c r="AI529" s="164">
        <f t="shared" si="485"/>
        <v>0</v>
      </c>
      <c r="AJ529" s="164">
        <f t="shared" si="485"/>
        <v>0</v>
      </c>
      <c r="AK529" s="164">
        <f t="shared" si="485"/>
        <v>0</v>
      </c>
      <c r="AL529" s="164">
        <f t="shared" si="485"/>
        <v>0</v>
      </c>
      <c r="AM529" s="164">
        <f t="shared" si="485"/>
        <v>0</v>
      </c>
    </row>
    <row r="530" spans="1:39">
      <c r="A530" s="100"/>
      <c r="B530" s="100"/>
      <c r="C530" s="100"/>
      <c r="D530" s="179" t="str">
        <f t="shared" si="482"/>
        <v>Motor vehicles</v>
      </c>
      <c r="E530" s="165" t="str">
        <f>H498</f>
        <v>Airfield</v>
      </c>
      <c r="F530" s="165"/>
      <c r="G530" s="165" t="s">
        <v>83</v>
      </c>
      <c r="H530" s="121"/>
      <c r="I530" s="165"/>
      <c r="J530" s="165"/>
      <c r="K530" s="532"/>
      <c r="L530" s="532"/>
      <c r="M530" s="533"/>
      <c r="N530" s="164">
        <f t="shared" ref="N530:X530" si="486">SUMIFS(N$9:N$26,$J$9:$J$26,$G527,$K$9:$K$26,$G530)</f>
        <v>0</v>
      </c>
      <c r="O530" s="164">
        <f t="shared" si="486"/>
        <v>0</v>
      </c>
      <c r="P530" s="164">
        <f t="shared" si="486"/>
        <v>0</v>
      </c>
      <c r="Q530" s="164">
        <f t="shared" si="486"/>
        <v>0</v>
      </c>
      <c r="R530" s="164">
        <f t="shared" si="486"/>
        <v>0</v>
      </c>
      <c r="S530" s="164">
        <f t="shared" si="486"/>
        <v>0</v>
      </c>
      <c r="T530" s="164">
        <f t="shared" si="486"/>
        <v>0</v>
      </c>
      <c r="U530" s="164">
        <f t="shared" si="486"/>
        <v>0</v>
      </c>
      <c r="V530" s="164">
        <f t="shared" si="486"/>
        <v>0</v>
      </c>
      <c r="W530" s="164">
        <f t="shared" si="486"/>
        <v>0</v>
      </c>
      <c r="X530" s="164">
        <f t="shared" si="486"/>
        <v>0</v>
      </c>
      <c r="Y530" s="164">
        <f>SUMIFS(Y$9:Y$26,$J$9:$J$26,$G527,$K$9:$K$26,$G530)</f>
        <v>0</v>
      </c>
      <c r="Z530" s="164">
        <f t="shared" ref="Z530:AM530" si="487">SUMIFS(Z$9:Z$26,$J$9:$J$26,$G527,$K$9:$K$26,$G530)</f>
        <v>0</v>
      </c>
      <c r="AA530" s="164">
        <f t="shared" si="487"/>
        <v>0</v>
      </c>
      <c r="AB530" s="164">
        <f t="shared" si="487"/>
        <v>0</v>
      </c>
      <c r="AC530" s="164">
        <f t="shared" si="487"/>
        <v>0</v>
      </c>
      <c r="AD530" s="164">
        <f t="shared" si="487"/>
        <v>0</v>
      </c>
      <c r="AE530" s="164">
        <f t="shared" si="487"/>
        <v>0</v>
      </c>
      <c r="AF530" s="164">
        <f t="shared" si="487"/>
        <v>0</v>
      </c>
      <c r="AG530" s="164">
        <f t="shared" si="487"/>
        <v>0</v>
      </c>
      <c r="AH530" s="164">
        <f t="shared" si="487"/>
        <v>0</v>
      </c>
      <c r="AI530" s="164">
        <f t="shared" si="487"/>
        <v>0</v>
      </c>
      <c r="AJ530" s="164">
        <f t="shared" si="487"/>
        <v>0</v>
      </c>
      <c r="AK530" s="164">
        <f t="shared" si="487"/>
        <v>0</v>
      </c>
      <c r="AL530" s="164">
        <f t="shared" si="487"/>
        <v>0</v>
      </c>
      <c r="AM530" s="164">
        <f t="shared" si="487"/>
        <v>0</v>
      </c>
    </row>
    <row r="531" spans="1:39">
      <c r="A531" s="100"/>
      <c r="B531" s="100"/>
      <c r="C531" s="100"/>
      <c r="D531" s="179" t="str">
        <f t="shared" si="482"/>
        <v>Motor vehicles</v>
      </c>
      <c r="E531" s="165" t="str">
        <f>H498</f>
        <v>Airfield</v>
      </c>
      <c r="F531" s="165"/>
      <c r="G531" s="165" t="s">
        <v>78</v>
      </c>
      <c r="H531" s="121"/>
      <c r="I531" s="165"/>
      <c r="J531" s="165"/>
      <c r="K531" s="197"/>
      <c r="L531" s="197"/>
      <c r="M531" s="477"/>
      <c r="N531" s="164">
        <f>N146+SUMIFS(N$9:N$26,$J$9:$J$26,$G527,$K$9:$K$26,$G531)</f>
        <v>0</v>
      </c>
      <c r="O531" s="164">
        <f t="shared" ref="O531:X531" si="488">O146+SUMIFS(O$9:O$26,$J$9:$J$26,$G527,$K$9:$K$26,$G531)</f>
        <v>327883.8</v>
      </c>
      <c r="P531" s="164">
        <f t="shared" si="488"/>
        <v>327883.8</v>
      </c>
      <c r="Q531" s="164">
        <f t="shared" si="488"/>
        <v>327883.8</v>
      </c>
      <c r="R531" s="164">
        <f t="shared" si="488"/>
        <v>327883.8</v>
      </c>
      <c r="S531" s="164">
        <f t="shared" si="488"/>
        <v>327883.8</v>
      </c>
      <c r="T531" s="164">
        <f t="shared" si="488"/>
        <v>327883.8</v>
      </c>
      <c r="U531" s="164">
        <f t="shared" si="488"/>
        <v>327883.8</v>
      </c>
      <c r="V531" s="164">
        <f t="shared" si="488"/>
        <v>327883.8</v>
      </c>
      <c r="W531" s="164">
        <f t="shared" si="488"/>
        <v>327883.8</v>
      </c>
      <c r="X531" s="164">
        <f t="shared" si="488"/>
        <v>327883.8</v>
      </c>
      <c r="Y531" s="164">
        <f>Y146+SUMIFS(Y$9:Y$26,$J$9:$J$26,$G527,$K$9:$K$26,$G531)</f>
        <v>0</v>
      </c>
      <c r="Z531" s="164">
        <f t="shared" ref="Z531:AM531" si="489">Z146+SUMIFS(Z$9:Z$26,$J$9:$J$26,$G527,$K$9:$K$26,$G531)</f>
        <v>0</v>
      </c>
      <c r="AA531" s="164">
        <f t="shared" si="489"/>
        <v>0</v>
      </c>
      <c r="AB531" s="164">
        <f t="shared" si="489"/>
        <v>0</v>
      </c>
      <c r="AC531" s="164">
        <f t="shared" si="489"/>
        <v>0</v>
      </c>
      <c r="AD531" s="164">
        <f t="shared" si="489"/>
        <v>0</v>
      </c>
      <c r="AE531" s="164">
        <f t="shared" si="489"/>
        <v>0</v>
      </c>
      <c r="AF531" s="164">
        <f t="shared" si="489"/>
        <v>0</v>
      </c>
      <c r="AG531" s="164">
        <f t="shared" si="489"/>
        <v>0</v>
      </c>
      <c r="AH531" s="164">
        <f t="shared" si="489"/>
        <v>0</v>
      </c>
      <c r="AI531" s="164">
        <f t="shared" si="489"/>
        <v>0</v>
      </c>
      <c r="AJ531" s="164">
        <f t="shared" si="489"/>
        <v>0</v>
      </c>
      <c r="AK531" s="164">
        <f t="shared" si="489"/>
        <v>0</v>
      </c>
      <c r="AL531" s="164">
        <f t="shared" si="489"/>
        <v>0</v>
      </c>
      <c r="AM531" s="164">
        <f t="shared" si="489"/>
        <v>0</v>
      </c>
    </row>
    <row r="532" spans="1:39">
      <c r="A532" s="100"/>
      <c r="B532" s="100"/>
      <c r="C532" s="100"/>
      <c r="D532" s="179" t="str">
        <f t="shared" si="482"/>
        <v>Motor vehicles</v>
      </c>
      <c r="E532" s="165" t="str">
        <f>H498</f>
        <v>Airfield</v>
      </c>
      <c r="F532" s="165"/>
      <c r="G532" s="165" t="s">
        <v>88</v>
      </c>
      <c r="H532" s="121"/>
      <c r="I532" s="165"/>
      <c r="J532" s="165"/>
      <c r="K532" s="197"/>
      <c r="L532" s="197"/>
      <c r="M532" s="477"/>
      <c r="N532" s="230"/>
      <c r="O532" s="230"/>
      <c r="P532" s="230"/>
      <c r="Q532" s="230"/>
      <c r="R532" s="230"/>
      <c r="S532" s="230"/>
      <c r="T532" s="230"/>
      <c r="U532" s="230"/>
      <c r="V532" s="230"/>
      <c r="W532" s="230"/>
      <c r="X532" s="230"/>
      <c r="Y532" s="230"/>
      <c r="Z532" s="230"/>
      <c r="AA532" s="230"/>
      <c r="AB532" s="230"/>
      <c r="AC532" s="230"/>
      <c r="AD532" s="230"/>
      <c r="AE532" s="230"/>
      <c r="AF532" s="230"/>
      <c r="AG532" s="230"/>
      <c r="AH532" s="230"/>
      <c r="AI532" s="230"/>
      <c r="AJ532" s="230"/>
      <c r="AK532" s="230"/>
      <c r="AL532" s="230"/>
      <c r="AM532" s="230"/>
    </row>
    <row r="533" spans="1:39">
      <c r="A533" s="100"/>
      <c r="B533" s="100"/>
      <c r="C533" s="100"/>
      <c r="D533" s="179" t="str">
        <f t="shared" si="482"/>
        <v>Motor vehicles</v>
      </c>
      <c r="E533" s="165" t="str">
        <f>H498</f>
        <v>Airfield</v>
      </c>
      <c r="F533" s="165"/>
      <c r="G533" s="165" t="s">
        <v>87</v>
      </c>
      <c r="H533" s="121"/>
      <c r="I533" s="165"/>
      <c r="J533" s="165"/>
      <c r="K533" s="197"/>
      <c r="L533" s="197"/>
      <c r="M533" s="477"/>
      <c r="N533" s="164">
        <f t="shared" ref="N533:X533" si="490">IF(M529&gt;0,M531/AVERAGE(M529,M534)*N532,0)</f>
        <v>0</v>
      </c>
      <c r="O533" s="164">
        <f t="shared" si="490"/>
        <v>0</v>
      </c>
      <c r="P533" s="164">
        <f t="shared" si="490"/>
        <v>0</v>
      </c>
      <c r="Q533" s="164">
        <f t="shared" si="490"/>
        <v>0</v>
      </c>
      <c r="R533" s="164">
        <f t="shared" si="490"/>
        <v>0</v>
      </c>
      <c r="S533" s="164">
        <f t="shared" si="490"/>
        <v>0</v>
      </c>
      <c r="T533" s="164">
        <f t="shared" si="490"/>
        <v>0</v>
      </c>
      <c r="U533" s="164">
        <f t="shared" si="490"/>
        <v>0</v>
      </c>
      <c r="V533" s="164">
        <f t="shared" si="490"/>
        <v>0</v>
      </c>
      <c r="W533" s="164">
        <f t="shared" si="490"/>
        <v>0</v>
      </c>
      <c r="X533" s="164">
        <f t="shared" si="490"/>
        <v>0</v>
      </c>
      <c r="Y533" s="164">
        <f t="shared" ref="Y533:AM533" si="491">IF(X529&gt;0,X531/AVERAGE(X529,X534)*Y532,0)</f>
        <v>0</v>
      </c>
      <c r="Z533" s="164">
        <f t="shared" si="491"/>
        <v>0</v>
      </c>
      <c r="AA533" s="164">
        <f t="shared" si="491"/>
        <v>0</v>
      </c>
      <c r="AB533" s="164">
        <f t="shared" si="491"/>
        <v>0</v>
      </c>
      <c r="AC533" s="164">
        <f t="shared" si="491"/>
        <v>0</v>
      </c>
      <c r="AD533" s="164">
        <f t="shared" si="491"/>
        <v>0</v>
      </c>
      <c r="AE533" s="164">
        <f t="shared" si="491"/>
        <v>0</v>
      </c>
      <c r="AF533" s="164">
        <f t="shared" si="491"/>
        <v>0</v>
      </c>
      <c r="AG533" s="164">
        <f t="shared" si="491"/>
        <v>0</v>
      </c>
      <c r="AH533" s="164">
        <f t="shared" si="491"/>
        <v>0</v>
      </c>
      <c r="AI533" s="164">
        <f t="shared" si="491"/>
        <v>0</v>
      </c>
      <c r="AJ533" s="164">
        <f t="shared" si="491"/>
        <v>0</v>
      </c>
      <c r="AK533" s="164">
        <f t="shared" si="491"/>
        <v>0</v>
      </c>
      <c r="AL533" s="164">
        <f t="shared" si="491"/>
        <v>0</v>
      </c>
      <c r="AM533" s="164">
        <f t="shared" si="491"/>
        <v>0</v>
      </c>
    </row>
    <row r="534" spans="1:39">
      <c r="A534" s="100"/>
      <c r="B534" s="100"/>
      <c r="C534" s="100"/>
      <c r="D534" s="179" t="str">
        <f t="shared" si="482"/>
        <v>Motor vehicles</v>
      </c>
      <c r="E534" s="165" t="str">
        <f>H498</f>
        <v>Airfield</v>
      </c>
      <c r="F534" s="165"/>
      <c r="G534" s="200" t="s">
        <v>76</v>
      </c>
      <c r="H534" s="201"/>
      <c r="I534" s="200"/>
      <c r="J534" s="200"/>
      <c r="K534" s="199">
        <f>K148</f>
        <v>0</v>
      </c>
      <c r="L534" s="199">
        <f>L148</f>
        <v>0</v>
      </c>
      <c r="M534" s="527">
        <f>M148</f>
        <v>0</v>
      </c>
      <c r="N534" s="527">
        <f>N148</f>
        <v>3278838</v>
      </c>
      <c r="O534" s="198">
        <f t="shared" ref="O534:AM534" si="492">SUM(O529:O530,O532)-SUM(O531,O533)</f>
        <v>2950954.2</v>
      </c>
      <c r="P534" s="198">
        <f t="shared" si="492"/>
        <v>2623070.4000000004</v>
      </c>
      <c r="Q534" s="198">
        <f t="shared" si="492"/>
        <v>2295186.6000000006</v>
      </c>
      <c r="R534" s="198">
        <f t="shared" si="492"/>
        <v>1967302.8000000005</v>
      </c>
      <c r="S534" s="198">
        <f t="shared" si="492"/>
        <v>1639419.0000000005</v>
      </c>
      <c r="T534" s="198">
        <f t="shared" si="492"/>
        <v>1311535.2000000004</v>
      </c>
      <c r="U534" s="198">
        <f t="shared" si="492"/>
        <v>983651.40000000037</v>
      </c>
      <c r="V534" s="198">
        <f t="shared" si="492"/>
        <v>655767.60000000033</v>
      </c>
      <c r="W534" s="198">
        <f t="shared" si="492"/>
        <v>327883.80000000034</v>
      </c>
      <c r="X534" s="198">
        <f t="shared" si="492"/>
        <v>0</v>
      </c>
      <c r="Y534" s="198">
        <f t="shared" si="492"/>
        <v>0</v>
      </c>
      <c r="Z534" s="198">
        <f t="shared" si="492"/>
        <v>0</v>
      </c>
      <c r="AA534" s="198">
        <f t="shared" si="492"/>
        <v>0</v>
      </c>
      <c r="AB534" s="198">
        <f t="shared" si="492"/>
        <v>0</v>
      </c>
      <c r="AC534" s="198">
        <f t="shared" si="492"/>
        <v>0</v>
      </c>
      <c r="AD534" s="198">
        <f t="shared" si="492"/>
        <v>0</v>
      </c>
      <c r="AE534" s="198">
        <f t="shared" si="492"/>
        <v>0</v>
      </c>
      <c r="AF534" s="198">
        <f t="shared" si="492"/>
        <v>0</v>
      </c>
      <c r="AG534" s="198">
        <f t="shared" si="492"/>
        <v>0</v>
      </c>
      <c r="AH534" s="198">
        <f t="shared" si="492"/>
        <v>0</v>
      </c>
      <c r="AI534" s="198">
        <f t="shared" si="492"/>
        <v>0</v>
      </c>
      <c r="AJ534" s="198">
        <f t="shared" si="492"/>
        <v>0</v>
      </c>
      <c r="AK534" s="198">
        <f t="shared" si="492"/>
        <v>0</v>
      </c>
      <c r="AL534" s="198">
        <f t="shared" si="492"/>
        <v>0</v>
      </c>
      <c r="AM534" s="198">
        <f t="shared" si="492"/>
        <v>0</v>
      </c>
    </row>
    <row r="535" spans="1:39">
      <c r="A535" s="100"/>
      <c r="B535" s="100"/>
      <c r="C535" s="100"/>
      <c r="D535" s="179"/>
      <c r="E535" s="165"/>
      <c r="F535" s="165"/>
      <c r="G535" s="205"/>
      <c r="H535" s="121"/>
      <c r="I535" s="165"/>
      <c r="J535" s="165"/>
      <c r="K535" s="204"/>
      <c r="L535" s="197"/>
      <c r="M535" s="477"/>
      <c r="N535" s="164"/>
      <c r="O535" s="164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  <c r="AG535" s="165"/>
      <c r="AH535" s="165"/>
      <c r="AI535" s="165"/>
      <c r="AJ535" s="165"/>
      <c r="AK535" s="165"/>
      <c r="AL535" s="165"/>
      <c r="AM535" s="165"/>
    </row>
    <row r="536" spans="1:39">
      <c r="A536" s="100"/>
      <c r="B536" s="100"/>
      <c r="C536" s="100"/>
      <c r="D536" s="179"/>
      <c r="E536" s="165"/>
      <c r="F536" s="165"/>
      <c r="G536" s="206" t="s">
        <v>34</v>
      </c>
      <c r="H536" s="121"/>
      <c r="I536" s="165"/>
      <c r="J536" s="165"/>
      <c r="K536" s="204"/>
      <c r="L536" s="197"/>
      <c r="M536" s="477"/>
      <c r="N536" s="164"/>
      <c r="O536" s="164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  <c r="AG536" s="165"/>
      <c r="AH536" s="165"/>
      <c r="AI536" s="165"/>
      <c r="AJ536" s="165"/>
      <c r="AK536" s="165"/>
      <c r="AL536" s="165"/>
      <c r="AM536" s="165"/>
    </row>
    <row r="537" spans="1:39">
      <c r="A537" s="100"/>
      <c r="B537" s="100"/>
      <c r="C537" s="100"/>
      <c r="D537" s="179"/>
      <c r="E537" s="165"/>
      <c r="F537" s="165"/>
      <c r="G537" s="205"/>
      <c r="H537" s="121"/>
      <c r="I537" s="165"/>
      <c r="J537" s="165"/>
      <c r="K537" s="204"/>
      <c r="L537" s="197"/>
      <c r="M537" s="477"/>
      <c r="N537" s="164"/>
      <c r="O537" s="164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  <c r="AA537" s="165"/>
      <c r="AB537" s="165"/>
      <c r="AC537" s="165"/>
      <c r="AD537" s="165"/>
      <c r="AE537" s="165"/>
      <c r="AF537" s="165"/>
      <c r="AG537" s="165"/>
      <c r="AH537" s="165"/>
      <c r="AI537" s="165"/>
      <c r="AJ537" s="165"/>
      <c r="AK537" s="165"/>
      <c r="AL537" s="165"/>
      <c r="AM537" s="165"/>
    </row>
    <row r="538" spans="1:39">
      <c r="A538" s="100"/>
      <c r="B538" s="100"/>
      <c r="C538" s="100"/>
      <c r="D538" s="179" t="str">
        <f t="shared" ref="D538:D543" si="493">$G$536</f>
        <v>Plant &amp; equipment</v>
      </c>
      <c r="E538" s="165" t="str">
        <f>H498</f>
        <v>Airfield</v>
      </c>
      <c r="F538" s="165"/>
      <c r="G538" s="165" t="s">
        <v>80</v>
      </c>
      <c r="H538" s="121"/>
      <c r="I538" s="165"/>
      <c r="J538" s="165"/>
      <c r="K538" s="530">
        <f>K543</f>
        <v>0</v>
      </c>
      <c r="L538" s="530">
        <f>L543</f>
        <v>0</v>
      </c>
      <c r="M538" s="531"/>
      <c r="N538" s="164">
        <f t="shared" ref="N538:S538" si="494">M543</f>
        <v>0</v>
      </c>
      <c r="O538" s="164">
        <f t="shared" si="494"/>
        <v>714219.18433053279</v>
      </c>
      <c r="P538" s="164">
        <f t="shared" si="494"/>
        <v>865767.96195080515</v>
      </c>
      <c r="Q538" s="164">
        <f t="shared" si="494"/>
        <v>997806.62625155505</v>
      </c>
      <c r="R538" s="164">
        <f t="shared" si="494"/>
        <v>1131962.8432365633</v>
      </c>
      <c r="S538" s="164">
        <f t="shared" si="494"/>
        <v>1254836.984859826</v>
      </c>
      <c r="T538" s="164">
        <f t="shared" ref="T538:Y538" si="495">S543</f>
        <v>1364827.2880174741</v>
      </c>
      <c r="U538" s="164">
        <f t="shared" si="495"/>
        <v>1152290.3809192288</v>
      </c>
      <c r="V538" s="164">
        <f t="shared" si="495"/>
        <v>939753.47382098355</v>
      </c>
      <c r="W538" s="164">
        <f t="shared" si="495"/>
        <v>727216.56672273832</v>
      </c>
      <c r="X538" s="164">
        <f t="shared" si="495"/>
        <v>514679.6596244931</v>
      </c>
      <c r="Y538" s="164">
        <f t="shared" si="495"/>
        <v>302142.75252624799</v>
      </c>
      <c r="Z538" s="164">
        <f t="shared" ref="Z538:AM538" si="496">Y543</f>
        <v>185802.28564475887</v>
      </c>
      <c r="AA538" s="164">
        <f t="shared" si="496"/>
        <v>94821.274820770428</v>
      </c>
      <c r="AB538" s="164">
        <f t="shared" si="496"/>
        <v>32252.721025589228</v>
      </c>
      <c r="AC538" s="164">
        <f t="shared" si="496"/>
        <v>-1.0186340659856796E-10</v>
      </c>
      <c r="AD538" s="164">
        <f t="shared" si="496"/>
        <v>-1.0186340659856796E-10</v>
      </c>
      <c r="AE538" s="164">
        <f t="shared" si="496"/>
        <v>-1.0186340659856796E-10</v>
      </c>
      <c r="AF538" s="164">
        <f t="shared" si="496"/>
        <v>-1.0186340659856796E-10</v>
      </c>
      <c r="AG538" s="164">
        <f t="shared" si="496"/>
        <v>-1.0186340659856796E-10</v>
      </c>
      <c r="AH538" s="164">
        <f t="shared" si="496"/>
        <v>-1.0186340659856796E-10</v>
      </c>
      <c r="AI538" s="164">
        <f t="shared" si="496"/>
        <v>-1.0186340659856796E-10</v>
      </c>
      <c r="AJ538" s="164">
        <f t="shared" si="496"/>
        <v>-1.0186340659856796E-10</v>
      </c>
      <c r="AK538" s="164">
        <f t="shared" si="496"/>
        <v>-1.0186340659856796E-10</v>
      </c>
      <c r="AL538" s="164">
        <f t="shared" si="496"/>
        <v>-1.0186340659856796E-10</v>
      </c>
      <c r="AM538" s="164">
        <f t="shared" si="496"/>
        <v>-1.0186340659856796E-10</v>
      </c>
    </row>
    <row r="539" spans="1:39">
      <c r="A539" s="100"/>
      <c r="B539" s="100"/>
      <c r="C539" s="100"/>
      <c r="D539" s="179" t="str">
        <f t="shared" si="493"/>
        <v>Plant &amp; equipment</v>
      </c>
      <c r="E539" s="165" t="str">
        <f>H498</f>
        <v>Airfield</v>
      </c>
      <c r="F539" s="165"/>
      <c r="G539" s="165" t="s">
        <v>83</v>
      </c>
      <c r="H539" s="121"/>
      <c r="I539" s="165"/>
      <c r="J539" s="165"/>
      <c r="K539" s="532"/>
      <c r="L539" s="532"/>
      <c r="M539" s="533"/>
      <c r="N539" s="164">
        <f t="shared" ref="N539:X539" si="497">SUMIFS(N$9:N$26,$J$9:$J$26,$G536,$K$9:$K$26,$G539)</f>
        <v>0</v>
      </c>
      <c r="O539" s="164">
        <f t="shared" si="497"/>
        <v>247745.21783702838</v>
      </c>
      <c r="P539" s="164">
        <f t="shared" si="497"/>
        <v>253594.56057500665</v>
      </c>
      <c r="Q539" s="164">
        <f t="shared" si="497"/>
        <v>284124.57028807234</v>
      </c>
      <c r="R539" s="164">
        <f t="shared" si="497"/>
        <v>303158.32769591874</v>
      </c>
      <c r="S539" s="164">
        <f t="shared" si="497"/>
        <v>322527.2102558933</v>
      </c>
      <c r="T539" s="164">
        <f t="shared" si="497"/>
        <v>0</v>
      </c>
      <c r="U539" s="164">
        <f t="shared" si="497"/>
        <v>0</v>
      </c>
      <c r="V539" s="164">
        <f t="shared" si="497"/>
        <v>0</v>
      </c>
      <c r="W539" s="164">
        <f t="shared" si="497"/>
        <v>0</v>
      </c>
      <c r="X539" s="164">
        <f t="shared" si="497"/>
        <v>0</v>
      </c>
      <c r="Y539" s="164">
        <f>SUMIFS(Y$9:Y$26,$J$9:$J$26,$G536,$K$9:$K$26,$G539)</f>
        <v>0</v>
      </c>
      <c r="Z539" s="164">
        <f t="shared" ref="Z539:AM539" si="498">SUMIFS(Z$9:Z$26,$J$9:$J$26,$G536,$K$9:$K$26,$G539)</f>
        <v>0</v>
      </c>
      <c r="AA539" s="164">
        <f t="shared" si="498"/>
        <v>0</v>
      </c>
      <c r="AB539" s="164">
        <f t="shared" si="498"/>
        <v>0</v>
      </c>
      <c r="AC539" s="164">
        <f t="shared" si="498"/>
        <v>0</v>
      </c>
      <c r="AD539" s="164">
        <f t="shared" si="498"/>
        <v>0</v>
      </c>
      <c r="AE539" s="164">
        <f t="shared" si="498"/>
        <v>0</v>
      </c>
      <c r="AF539" s="164">
        <f t="shared" si="498"/>
        <v>0</v>
      </c>
      <c r="AG539" s="164">
        <f t="shared" si="498"/>
        <v>0</v>
      </c>
      <c r="AH539" s="164">
        <f t="shared" si="498"/>
        <v>0</v>
      </c>
      <c r="AI539" s="164">
        <f t="shared" si="498"/>
        <v>0</v>
      </c>
      <c r="AJ539" s="164">
        <f t="shared" si="498"/>
        <v>0</v>
      </c>
      <c r="AK539" s="164">
        <f t="shared" si="498"/>
        <v>0</v>
      </c>
      <c r="AL539" s="164">
        <f t="shared" si="498"/>
        <v>0</v>
      </c>
      <c r="AM539" s="164">
        <f t="shared" si="498"/>
        <v>0</v>
      </c>
    </row>
    <row r="540" spans="1:39">
      <c r="A540" s="100"/>
      <c r="B540" s="100"/>
      <c r="C540" s="100"/>
      <c r="D540" s="179" t="str">
        <f t="shared" si="493"/>
        <v>Plant &amp; equipment</v>
      </c>
      <c r="E540" s="165" t="str">
        <f>H498</f>
        <v>Airfield</v>
      </c>
      <c r="F540" s="165"/>
      <c r="G540" s="165" t="s">
        <v>78</v>
      </c>
      <c r="H540" s="121"/>
      <c r="I540" s="165"/>
      <c r="J540" s="165"/>
      <c r="K540" s="197"/>
      <c r="L540" s="197"/>
      <c r="M540" s="477"/>
      <c r="N540" s="164">
        <f>N155+SUMIFS(N$9:N$26,$J$9:$J$26,$G536,$K$9:$K$26,$G540)</f>
        <v>0</v>
      </c>
      <c r="O540" s="164">
        <f t="shared" ref="O540:X540" si="499">O155+SUMIFS(O$9:O$26,$J$9:$J$26,$G536,$K$9:$K$26,$G540)</f>
        <v>96196.440216756106</v>
      </c>
      <c r="P540" s="164">
        <f t="shared" si="499"/>
        <v>121555.89627425678</v>
      </c>
      <c r="Q540" s="164">
        <f t="shared" si="499"/>
        <v>149968.35330306401</v>
      </c>
      <c r="R540" s="164">
        <f t="shared" si="499"/>
        <v>180284.1860726559</v>
      </c>
      <c r="S540" s="164">
        <f t="shared" si="499"/>
        <v>212536.90709824522</v>
      </c>
      <c r="T540" s="164">
        <f t="shared" si="499"/>
        <v>212536.90709824522</v>
      </c>
      <c r="U540" s="164">
        <f t="shared" si="499"/>
        <v>212536.90709824522</v>
      </c>
      <c r="V540" s="164">
        <f t="shared" si="499"/>
        <v>212536.90709824522</v>
      </c>
      <c r="W540" s="164">
        <f t="shared" si="499"/>
        <v>212536.90709824522</v>
      </c>
      <c r="X540" s="164">
        <f t="shared" si="499"/>
        <v>212536.90709824514</v>
      </c>
      <c r="Y540" s="164">
        <f>Y155+SUMIFS(Y$9:Y$26,$J$9:$J$26,$G536,$K$9:$K$26,$G540)</f>
        <v>116340.46688148912</v>
      </c>
      <c r="Z540" s="164">
        <f t="shared" ref="Z540:AM540" si="500">Z155+SUMIFS(Z$9:Z$26,$J$9:$J$26,$G536,$K$9:$K$26,$G540)</f>
        <v>90981.010823988443</v>
      </c>
      <c r="AA540" s="164">
        <f t="shared" si="500"/>
        <v>62568.5537951812</v>
      </c>
      <c r="AB540" s="164">
        <f t="shared" si="500"/>
        <v>32252.72102558933</v>
      </c>
      <c r="AC540" s="164">
        <f t="shared" si="500"/>
        <v>0</v>
      </c>
      <c r="AD540" s="164">
        <f t="shared" si="500"/>
        <v>0</v>
      </c>
      <c r="AE540" s="164">
        <f t="shared" si="500"/>
        <v>0</v>
      </c>
      <c r="AF540" s="164">
        <f t="shared" si="500"/>
        <v>0</v>
      </c>
      <c r="AG540" s="164">
        <f t="shared" si="500"/>
        <v>0</v>
      </c>
      <c r="AH540" s="164">
        <f t="shared" si="500"/>
        <v>0</v>
      </c>
      <c r="AI540" s="164">
        <f t="shared" si="500"/>
        <v>0</v>
      </c>
      <c r="AJ540" s="164">
        <f t="shared" si="500"/>
        <v>0</v>
      </c>
      <c r="AK540" s="164">
        <f t="shared" si="500"/>
        <v>0</v>
      </c>
      <c r="AL540" s="164">
        <f t="shared" si="500"/>
        <v>0</v>
      </c>
      <c r="AM540" s="164">
        <f t="shared" si="500"/>
        <v>0</v>
      </c>
    </row>
    <row r="541" spans="1:39">
      <c r="A541" s="100"/>
      <c r="B541" s="100"/>
      <c r="C541" s="100"/>
      <c r="D541" s="179" t="str">
        <f t="shared" si="493"/>
        <v>Plant &amp; equipment</v>
      </c>
      <c r="E541" s="165" t="str">
        <f>H498</f>
        <v>Airfield</v>
      </c>
      <c r="F541" s="165"/>
      <c r="G541" s="165" t="s">
        <v>88</v>
      </c>
      <c r="H541" s="121"/>
      <c r="I541" s="165"/>
      <c r="J541" s="165"/>
      <c r="K541" s="197"/>
      <c r="L541" s="197"/>
      <c r="M541" s="477"/>
      <c r="N541" s="230"/>
      <c r="O541" s="230"/>
      <c r="P541" s="230"/>
      <c r="Q541" s="230"/>
      <c r="R541" s="230"/>
      <c r="S541" s="230"/>
      <c r="T541" s="230"/>
      <c r="U541" s="230"/>
      <c r="V541" s="230"/>
      <c r="W541" s="230"/>
      <c r="X541" s="230"/>
      <c r="Y541" s="230"/>
      <c r="Z541" s="230"/>
      <c r="AA541" s="230"/>
      <c r="AB541" s="230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</row>
    <row r="542" spans="1:39">
      <c r="A542" s="100"/>
      <c r="B542" s="100"/>
      <c r="C542" s="100"/>
      <c r="D542" s="179" t="str">
        <f t="shared" si="493"/>
        <v>Plant &amp; equipment</v>
      </c>
      <c r="E542" s="165" t="str">
        <f>H498</f>
        <v>Airfield</v>
      </c>
      <c r="F542" s="165"/>
      <c r="G542" s="165" t="s">
        <v>87</v>
      </c>
      <c r="H542" s="121"/>
      <c r="I542" s="165"/>
      <c r="J542" s="165"/>
      <c r="K542" s="197"/>
      <c r="L542" s="197"/>
      <c r="M542" s="477"/>
      <c r="N542" s="164">
        <f t="shared" ref="N542:X542" si="501">IF(M538&gt;0,M540/AVERAGE(M538,M543)*N541,0)</f>
        <v>0</v>
      </c>
      <c r="O542" s="164">
        <f t="shared" si="501"/>
        <v>0</v>
      </c>
      <c r="P542" s="164">
        <f t="shared" si="501"/>
        <v>0</v>
      </c>
      <c r="Q542" s="164">
        <f t="shared" si="501"/>
        <v>0</v>
      </c>
      <c r="R542" s="164">
        <f t="shared" si="501"/>
        <v>0</v>
      </c>
      <c r="S542" s="164">
        <f t="shared" si="501"/>
        <v>0</v>
      </c>
      <c r="T542" s="164">
        <f t="shared" si="501"/>
        <v>0</v>
      </c>
      <c r="U542" s="164">
        <f t="shared" si="501"/>
        <v>0</v>
      </c>
      <c r="V542" s="164">
        <f t="shared" si="501"/>
        <v>0</v>
      </c>
      <c r="W542" s="164">
        <f t="shared" si="501"/>
        <v>0</v>
      </c>
      <c r="X542" s="164">
        <f t="shared" si="501"/>
        <v>0</v>
      </c>
      <c r="Y542" s="164">
        <f t="shared" ref="Y542:AM542" si="502">IF(X538&gt;0,X540/AVERAGE(X538,X543)*Y541,0)</f>
        <v>0</v>
      </c>
      <c r="Z542" s="164">
        <f t="shared" si="502"/>
        <v>0</v>
      </c>
      <c r="AA542" s="164">
        <f t="shared" si="502"/>
        <v>0</v>
      </c>
      <c r="AB542" s="164">
        <f t="shared" si="502"/>
        <v>0</v>
      </c>
      <c r="AC542" s="164">
        <f t="shared" si="502"/>
        <v>0</v>
      </c>
      <c r="AD542" s="164">
        <f t="shared" si="502"/>
        <v>0</v>
      </c>
      <c r="AE542" s="164">
        <f t="shared" si="502"/>
        <v>0</v>
      </c>
      <c r="AF542" s="164">
        <f t="shared" si="502"/>
        <v>0</v>
      </c>
      <c r="AG542" s="164">
        <f t="shared" si="502"/>
        <v>0</v>
      </c>
      <c r="AH542" s="164">
        <f t="shared" si="502"/>
        <v>0</v>
      </c>
      <c r="AI542" s="164">
        <f t="shared" si="502"/>
        <v>0</v>
      </c>
      <c r="AJ542" s="164">
        <f t="shared" si="502"/>
        <v>0</v>
      </c>
      <c r="AK542" s="164">
        <f t="shared" si="502"/>
        <v>0</v>
      </c>
      <c r="AL542" s="164">
        <f t="shared" si="502"/>
        <v>0</v>
      </c>
      <c r="AM542" s="164">
        <f t="shared" si="502"/>
        <v>0</v>
      </c>
    </row>
    <row r="543" spans="1:39">
      <c r="A543" s="100"/>
      <c r="B543" s="100"/>
      <c r="C543" s="100"/>
      <c r="D543" s="179" t="str">
        <f t="shared" si="493"/>
        <v>Plant &amp; equipment</v>
      </c>
      <c r="E543" s="165" t="str">
        <f>H498</f>
        <v>Airfield</v>
      </c>
      <c r="F543" s="165"/>
      <c r="G543" s="200" t="s">
        <v>76</v>
      </c>
      <c r="H543" s="201"/>
      <c r="I543" s="200"/>
      <c r="J543" s="200"/>
      <c r="K543" s="199">
        <f>K157</f>
        <v>0</v>
      </c>
      <c r="L543" s="199">
        <f>L157</f>
        <v>0</v>
      </c>
      <c r="M543" s="527">
        <f>M157</f>
        <v>0</v>
      </c>
      <c r="N543" s="527">
        <f>N157</f>
        <v>714219.18433053279</v>
      </c>
      <c r="O543" s="198">
        <f t="shared" ref="O543:AM543" si="503">SUM(O538:O539,O541)-SUM(O540,O542)</f>
        <v>865767.96195080515</v>
      </c>
      <c r="P543" s="198">
        <f t="shared" si="503"/>
        <v>997806.62625155505</v>
      </c>
      <c r="Q543" s="198">
        <f t="shared" si="503"/>
        <v>1131962.8432365633</v>
      </c>
      <c r="R543" s="198">
        <f t="shared" si="503"/>
        <v>1254836.984859826</v>
      </c>
      <c r="S543" s="198">
        <f t="shared" si="503"/>
        <v>1364827.2880174741</v>
      </c>
      <c r="T543" s="198">
        <f t="shared" si="503"/>
        <v>1152290.3809192288</v>
      </c>
      <c r="U543" s="198">
        <f t="shared" si="503"/>
        <v>939753.47382098355</v>
      </c>
      <c r="V543" s="198">
        <f t="shared" si="503"/>
        <v>727216.56672273832</v>
      </c>
      <c r="W543" s="198">
        <f t="shared" si="503"/>
        <v>514679.6596244931</v>
      </c>
      <c r="X543" s="198">
        <f t="shared" si="503"/>
        <v>302142.75252624799</v>
      </c>
      <c r="Y543" s="198">
        <f t="shared" si="503"/>
        <v>185802.28564475887</v>
      </c>
      <c r="Z543" s="198">
        <f t="shared" si="503"/>
        <v>94821.274820770428</v>
      </c>
      <c r="AA543" s="198">
        <f t="shared" si="503"/>
        <v>32252.721025589228</v>
      </c>
      <c r="AB543" s="198">
        <f t="shared" si="503"/>
        <v>-1.0186340659856796E-10</v>
      </c>
      <c r="AC543" s="198">
        <f t="shared" si="503"/>
        <v>-1.0186340659856796E-10</v>
      </c>
      <c r="AD543" s="198">
        <f t="shared" si="503"/>
        <v>-1.0186340659856796E-10</v>
      </c>
      <c r="AE543" s="198">
        <f t="shared" si="503"/>
        <v>-1.0186340659856796E-10</v>
      </c>
      <c r="AF543" s="198">
        <f t="shared" si="503"/>
        <v>-1.0186340659856796E-10</v>
      </c>
      <c r="AG543" s="198">
        <f t="shared" si="503"/>
        <v>-1.0186340659856796E-10</v>
      </c>
      <c r="AH543" s="198">
        <f t="shared" si="503"/>
        <v>-1.0186340659856796E-10</v>
      </c>
      <c r="AI543" s="198">
        <f t="shared" si="503"/>
        <v>-1.0186340659856796E-10</v>
      </c>
      <c r="AJ543" s="198">
        <f t="shared" si="503"/>
        <v>-1.0186340659856796E-10</v>
      </c>
      <c r="AK543" s="198">
        <f t="shared" si="503"/>
        <v>-1.0186340659856796E-10</v>
      </c>
      <c r="AL543" s="198">
        <f t="shared" si="503"/>
        <v>-1.0186340659856796E-10</v>
      </c>
      <c r="AM543" s="198">
        <f t="shared" si="503"/>
        <v>-1.0186340659856796E-10</v>
      </c>
    </row>
    <row r="544" spans="1:39">
      <c r="A544" s="100"/>
      <c r="B544" s="100"/>
      <c r="C544" s="100"/>
      <c r="D544" s="179"/>
      <c r="E544" s="165"/>
      <c r="F544" s="165"/>
      <c r="G544" s="165"/>
      <c r="H544" s="121"/>
      <c r="I544" s="165"/>
      <c r="J544" s="165"/>
      <c r="K544" s="197"/>
      <c r="L544" s="197"/>
      <c r="M544" s="477"/>
      <c r="N544" s="164"/>
      <c r="O544" s="164"/>
      <c r="P544" s="164"/>
      <c r="Q544" s="164"/>
      <c r="R544" s="164"/>
      <c r="S544" s="164"/>
      <c r="T544" s="164"/>
      <c r="U544" s="164"/>
      <c r="V544" s="164"/>
      <c r="W544" s="164"/>
      <c r="X544" s="164"/>
      <c r="Y544" s="164"/>
      <c r="Z544" s="164"/>
      <c r="AA544" s="164"/>
      <c r="AB544" s="164"/>
      <c r="AC544" s="164"/>
      <c r="AD544" s="164"/>
      <c r="AE544" s="164"/>
      <c r="AF544" s="164"/>
      <c r="AG544" s="164"/>
      <c r="AH544" s="164"/>
      <c r="AI544" s="164"/>
      <c r="AJ544" s="164"/>
      <c r="AK544" s="164"/>
      <c r="AL544" s="164"/>
      <c r="AM544" s="164"/>
    </row>
    <row r="545" spans="1:39">
      <c r="A545" s="100"/>
      <c r="B545" s="100"/>
      <c r="C545" s="100"/>
      <c r="D545" s="179"/>
      <c r="E545" s="165"/>
      <c r="F545" s="165"/>
      <c r="G545" s="206" t="s">
        <v>33</v>
      </c>
      <c r="H545" s="121"/>
      <c r="I545" s="165"/>
      <c r="J545" s="165"/>
      <c r="K545" s="204"/>
      <c r="L545" s="197"/>
      <c r="M545" s="477"/>
      <c r="N545" s="164"/>
      <c r="O545" s="164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  <c r="AA545" s="165"/>
      <c r="AB545" s="165"/>
      <c r="AC545" s="165"/>
      <c r="AD545" s="165"/>
      <c r="AE545" s="165"/>
      <c r="AF545" s="165"/>
      <c r="AG545" s="165"/>
      <c r="AH545" s="165"/>
      <c r="AI545" s="165"/>
      <c r="AJ545" s="165"/>
      <c r="AK545" s="165"/>
      <c r="AL545" s="165"/>
      <c r="AM545" s="165"/>
    </row>
    <row r="546" spans="1:39">
      <c r="A546" s="100"/>
      <c r="B546" s="100"/>
      <c r="C546" s="100"/>
      <c r="D546" s="179"/>
      <c r="E546" s="165"/>
      <c r="F546" s="165"/>
      <c r="G546" s="205"/>
      <c r="H546" s="121"/>
      <c r="I546" s="165"/>
      <c r="J546" s="165"/>
      <c r="K546" s="204"/>
      <c r="L546" s="197"/>
      <c r="M546" s="477"/>
      <c r="N546" s="164"/>
      <c r="O546" s="164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  <c r="AA546" s="165"/>
      <c r="AB546" s="165"/>
      <c r="AC546" s="165"/>
      <c r="AD546" s="165"/>
      <c r="AE546" s="165"/>
      <c r="AF546" s="165"/>
      <c r="AG546" s="165"/>
      <c r="AH546" s="165"/>
      <c r="AI546" s="165"/>
      <c r="AJ546" s="165"/>
      <c r="AK546" s="165"/>
      <c r="AL546" s="165"/>
      <c r="AM546" s="165"/>
    </row>
    <row r="547" spans="1:39">
      <c r="A547" s="100"/>
      <c r="B547" s="100"/>
      <c r="C547" s="100"/>
      <c r="D547" s="179" t="str">
        <f t="shared" ref="D547:D552" si="504">$G$545</f>
        <v>Airfield Runway Apron Taxi</v>
      </c>
      <c r="E547" s="165" t="str">
        <f>H498</f>
        <v>Airfield</v>
      </c>
      <c r="F547" s="165"/>
      <c r="G547" s="165" t="s">
        <v>80</v>
      </c>
      <c r="H547" s="121"/>
      <c r="I547" s="165"/>
      <c r="J547" s="165"/>
      <c r="K547" s="530">
        <f>K552</f>
        <v>0</v>
      </c>
      <c r="L547" s="530">
        <f>L552</f>
        <v>0</v>
      </c>
      <c r="M547" s="531"/>
      <c r="N547" s="164">
        <f t="shared" ref="N547:S547" si="505">M552</f>
        <v>0</v>
      </c>
      <c r="O547" s="164">
        <f t="shared" si="505"/>
        <v>95048211.352828562</v>
      </c>
      <c r="P547" s="164">
        <f t="shared" si="505"/>
        <v>124178793.34394582</v>
      </c>
      <c r="Q547" s="164">
        <f t="shared" si="505"/>
        <v>133264560.066533</v>
      </c>
      <c r="R547" s="164">
        <f t="shared" si="505"/>
        <v>137615783.54462108</v>
      </c>
      <c r="S547" s="164">
        <f t="shared" si="505"/>
        <v>141505376.56897557</v>
      </c>
      <c r="T547" s="164">
        <f t="shared" ref="T547:Y547" si="506">S552</f>
        <v>146771187.3800571</v>
      </c>
      <c r="U547" s="164">
        <f t="shared" si="506"/>
        <v>145649263.32477504</v>
      </c>
      <c r="V547" s="164">
        <f t="shared" si="506"/>
        <v>144501872.96810299</v>
      </c>
      <c r="W547" s="164">
        <f t="shared" si="506"/>
        <v>143325811.60956594</v>
      </c>
      <c r="X547" s="164">
        <f t="shared" si="506"/>
        <v>142120364.08104897</v>
      </c>
      <c r="Y547" s="164">
        <f t="shared" si="506"/>
        <v>140884796.37126881</v>
      </c>
      <c r="Z547" s="164">
        <f t="shared" ref="Z547:AM547" si="507">Y552</f>
        <v>139627994.39513174</v>
      </c>
      <c r="AA547" s="164">
        <f t="shared" si="507"/>
        <v>138381076.9456822</v>
      </c>
      <c r="AB547" s="164">
        <f t="shared" si="507"/>
        <v>137121506.42141852</v>
      </c>
      <c r="AC547" s="164">
        <f t="shared" si="507"/>
        <v>135842171.86773273</v>
      </c>
      <c r="AD547" s="164">
        <f t="shared" si="507"/>
        <v>134538293.0545781</v>
      </c>
      <c r="AE547" s="164">
        <f t="shared" si="507"/>
        <v>133202010.60412805</v>
      </c>
      <c r="AF547" s="164">
        <f t="shared" si="507"/>
        <v>131832340.41858099</v>
      </c>
      <c r="AG547" s="164">
        <f t="shared" si="507"/>
        <v>130428448.7621033</v>
      </c>
      <c r="AH547" s="164">
        <f t="shared" si="507"/>
        <v>128989481.03889647</v>
      </c>
      <c r="AI547" s="164">
        <f t="shared" si="507"/>
        <v>127514561.34839949</v>
      </c>
      <c r="AJ547" s="164">
        <f t="shared" si="507"/>
        <v>127734142.65440299</v>
      </c>
      <c r="AK547" s="164">
        <f t="shared" si="507"/>
        <v>128001776.67719439</v>
      </c>
      <c r="AL547" s="164">
        <f t="shared" si="507"/>
        <v>125147476.0359683</v>
      </c>
      <c r="AM547" s="164">
        <f t="shared" si="507"/>
        <v>122293175.39474222</v>
      </c>
    </row>
    <row r="548" spans="1:39">
      <c r="A548" s="100"/>
      <c r="B548" s="100"/>
      <c r="C548" s="100"/>
      <c r="D548" s="179" t="str">
        <f t="shared" si="504"/>
        <v>Airfield Runway Apron Taxi</v>
      </c>
      <c r="E548" s="165" t="str">
        <f>H498</f>
        <v>Airfield</v>
      </c>
      <c r="F548" s="165"/>
      <c r="G548" s="165" t="s">
        <v>83</v>
      </c>
      <c r="H548" s="121"/>
      <c r="I548" s="165"/>
      <c r="J548" s="165"/>
      <c r="K548" s="532"/>
      <c r="L548" s="532"/>
      <c r="M548" s="533"/>
      <c r="N548" s="164">
        <f t="shared" ref="N548:X548" si="508">SUMIFS(N$9:N$26,$J$9:$J$26,$G545,$K$9:$K$26,$G548)</f>
        <v>0</v>
      </c>
      <c r="O548" s="164">
        <f t="shared" si="508"/>
        <v>30876469.399999999</v>
      </c>
      <c r="P548" s="164">
        <f t="shared" si="508"/>
        <v>10657708.295799997</v>
      </c>
      <c r="Q548" s="164">
        <f t="shared" si="508"/>
        <v>5922370.4331083978</v>
      </c>
      <c r="R548" s="164">
        <f t="shared" si="508"/>
        <v>5546213.9125593249</v>
      </c>
      <c r="S548" s="164">
        <f t="shared" si="508"/>
        <v>7061324.6258512298</v>
      </c>
      <c r="T548" s="164">
        <f t="shared" si="508"/>
        <v>0</v>
      </c>
      <c r="U548" s="164">
        <f t="shared" si="508"/>
        <v>0</v>
      </c>
      <c r="V548" s="164">
        <f t="shared" si="508"/>
        <v>0</v>
      </c>
      <c r="W548" s="164">
        <f t="shared" si="508"/>
        <v>0</v>
      </c>
      <c r="X548" s="164">
        <f t="shared" si="508"/>
        <v>0</v>
      </c>
      <c r="Y548" s="164">
        <f>SUMIFS(Y$9:Y$26,$J$9:$J$26,$G545,$K$9:$K$26,$G548)</f>
        <v>0</v>
      </c>
      <c r="Z548" s="164">
        <f t="shared" ref="Z548:AM548" si="509">SUMIFS(Z$9:Z$26,$J$9:$J$26,$G545,$K$9:$K$26,$G548)</f>
        <v>0</v>
      </c>
      <c r="AA548" s="164">
        <f t="shared" si="509"/>
        <v>0</v>
      </c>
      <c r="AB548" s="164">
        <f t="shared" si="509"/>
        <v>0</v>
      </c>
      <c r="AC548" s="164">
        <f t="shared" si="509"/>
        <v>0</v>
      </c>
      <c r="AD548" s="164">
        <f t="shared" si="509"/>
        <v>0</v>
      </c>
      <c r="AE548" s="164">
        <f t="shared" si="509"/>
        <v>0</v>
      </c>
      <c r="AF548" s="164">
        <f t="shared" si="509"/>
        <v>0</v>
      </c>
      <c r="AG548" s="164">
        <f t="shared" si="509"/>
        <v>0</v>
      </c>
      <c r="AH548" s="164">
        <f t="shared" si="509"/>
        <v>0</v>
      </c>
      <c r="AI548" s="164">
        <f t="shared" si="509"/>
        <v>0</v>
      </c>
      <c r="AJ548" s="164">
        <f t="shared" si="509"/>
        <v>0</v>
      </c>
      <c r="AK548" s="164">
        <f t="shared" si="509"/>
        <v>0</v>
      </c>
      <c r="AL548" s="164">
        <f t="shared" si="509"/>
        <v>0</v>
      </c>
      <c r="AM548" s="164">
        <f t="shared" si="509"/>
        <v>0</v>
      </c>
    </row>
    <row r="549" spans="1:39">
      <c r="A549" s="100"/>
      <c r="B549" s="100"/>
      <c r="C549" s="100"/>
      <c r="D549" s="179" t="str">
        <f t="shared" si="504"/>
        <v>Airfield Runway Apron Taxi</v>
      </c>
      <c r="E549" s="165" t="str">
        <f>H498</f>
        <v>Airfield</v>
      </c>
      <c r="F549" s="165"/>
      <c r="G549" s="165" t="s">
        <v>78</v>
      </c>
      <c r="H549" s="121"/>
      <c r="I549" s="165"/>
      <c r="J549" s="165"/>
      <c r="K549" s="197"/>
      <c r="L549" s="197"/>
      <c r="M549" s="477"/>
      <c r="N549" s="164">
        <f>N164+SUMIFS(N$9:N$26,$J$9:$J$26,$G545,$K$9:$K$26,$G549)</f>
        <v>0</v>
      </c>
      <c r="O549" s="164">
        <f t="shared" ref="O549:X549" si="510">O164+SUMIFS(O$9:O$26,$J$9:$J$26,$G545,$K$9:$K$26,$G549)</f>
        <v>3741899.8472921494</v>
      </c>
      <c r="P549" s="164">
        <f t="shared" si="510"/>
        <v>4090674.7483466235</v>
      </c>
      <c r="Q549" s="164">
        <f t="shared" si="510"/>
        <v>4280766.7914201664</v>
      </c>
      <c r="R549" s="164">
        <f t="shared" si="510"/>
        <v>4455212.2148591727</v>
      </c>
      <c r="S549" s="164">
        <f t="shared" si="510"/>
        <v>4672263.5018865326</v>
      </c>
      <c r="T549" s="164">
        <f t="shared" si="510"/>
        <v>4672263.5018865326</v>
      </c>
      <c r="U549" s="164">
        <f t="shared" si="510"/>
        <v>4672263.5018865326</v>
      </c>
      <c r="V549" s="164">
        <f t="shared" si="510"/>
        <v>4672263.5018865326</v>
      </c>
      <c r="W549" s="164">
        <f t="shared" si="510"/>
        <v>4672263.5018865326</v>
      </c>
      <c r="X549" s="164">
        <f t="shared" si="510"/>
        <v>4672263.5018865326</v>
      </c>
      <c r="Y549" s="164">
        <f>Y164+SUMIFS(Y$9:Y$26,$J$9:$J$26,$G545,$K$9:$K$26,$G549)</f>
        <v>4662625.2618865333</v>
      </c>
      <c r="Z549" s="164">
        <f t="shared" ref="Z549:AM549" si="511">Z164+SUMIFS(Z$9:Z$26,$J$9:$J$26,$G545,$K$9:$K$26,$G549)</f>
        <v>4621573.9353065323</v>
      </c>
      <c r="AA549" s="164">
        <f t="shared" si="511"/>
        <v>4604076.3129356932</v>
      </c>
      <c r="AB549" s="164">
        <f t="shared" si="511"/>
        <v>4592796.5409202594</v>
      </c>
      <c r="AC549" s="164">
        <f t="shared" si="511"/>
        <v>4585651.3378232699</v>
      </c>
      <c r="AD549" s="164">
        <f t="shared" si="511"/>
        <v>4585651.3378232699</v>
      </c>
      <c r="AE549" s="164">
        <f t="shared" si="511"/>
        <v>4585651.3378232699</v>
      </c>
      <c r="AF549" s="164">
        <f t="shared" si="511"/>
        <v>4585651.3378232699</v>
      </c>
      <c r="AG549" s="164">
        <f t="shared" si="511"/>
        <v>4585651.3378232699</v>
      </c>
      <c r="AH549" s="164">
        <f t="shared" si="511"/>
        <v>4585651.3378232699</v>
      </c>
      <c r="AI549" s="164">
        <f t="shared" si="511"/>
        <v>2854300.641226083</v>
      </c>
      <c r="AJ549" s="164">
        <f t="shared" si="511"/>
        <v>2854300.641226083</v>
      </c>
      <c r="AK549" s="164">
        <f t="shared" si="511"/>
        <v>2854300.641226083</v>
      </c>
      <c r="AL549" s="164">
        <f t="shared" si="511"/>
        <v>2854300.641226083</v>
      </c>
      <c r="AM549" s="164">
        <f t="shared" si="511"/>
        <v>2854300.641226083</v>
      </c>
    </row>
    <row r="550" spans="1:39">
      <c r="A550" s="100"/>
      <c r="B550" s="100"/>
      <c r="C550" s="100"/>
      <c r="D550" s="179" t="str">
        <f t="shared" si="504"/>
        <v>Airfield Runway Apron Taxi</v>
      </c>
      <c r="E550" s="165" t="str">
        <f>H498</f>
        <v>Airfield</v>
      </c>
      <c r="F550" s="165"/>
      <c r="G550" s="165" t="s">
        <v>88</v>
      </c>
      <c r="H550" s="121"/>
      <c r="I550" s="165"/>
      <c r="J550" s="165"/>
      <c r="K550" s="197"/>
      <c r="L550" s="197"/>
      <c r="M550" s="477"/>
      <c r="N550" s="331"/>
      <c r="O550" s="545">
        <f>N552*'Volume &amp; CPI forecast'!O13</f>
        <v>1996012.4384093999</v>
      </c>
      <c r="P550" s="545">
        <f>O552*'Volume &amp; CPI forecast'!P13</f>
        <v>2607754.6602228624</v>
      </c>
      <c r="Q550" s="545">
        <f>P552*'Volume &amp; CPI forecast'!Q13</f>
        <v>2798555.7613971932</v>
      </c>
      <c r="R550" s="545">
        <f>Q552*'Volume &amp; CPI forecast'!R13</f>
        <v>2889931.4544370431</v>
      </c>
      <c r="S550" s="545">
        <f>R552*'Volume &amp; CPI forecast'!S13</f>
        <v>2971612.907948487</v>
      </c>
      <c r="T550" s="545">
        <f>S552*'Volume &amp; CPI forecast'!T13</f>
        <v>3669279.6845014277</v>
      </c>
      <c r="U550" s="545">
        <f>T552*'Volume &amp; CPI forecast'!U13</f>
        <v>3641231.5831193761</v>
      </c>
      <c r="V550" s="545">
        <f>U552*'Volume &amp; CPI forecast'!V13</f>
        <v>3612546.8242025748</v>
      </c>
      <c r="W550" s="545">
        <f>V552*'Volume &amp; CPI forecast'!W13</f>
        <v>3583145.2902391488</v>
      </c>
      <c r="X550" s="545">
        <f>W552*'Volume &amp; CPI forecast'!X13</f>
        <v>3553009.1020262241</v>
      </c>
      <c r="Y550" s="545">
        <f>X552*'Volume &amp; CPI forecast'!Y13</f>
        <v>3522119.9092817204</v>
      </c>
      <c r="Z550" s="545">
        <f>Y552*'Volume &amp; CPI forecast'!Z13</f>
        <v>3490699.8598782937</v>
      </c>
      <c r="AA550" s="545">
        <f>Z552*'Volume &amp; CPI forecast'!AA13</f>
        <v>3459526.9236420551</v>
      </c>
      <c r="AB550" s="545">
        <f>AA552*'Volume &amp; CPI forecast'!AB13</f>
        <v>3428037.6605354631</v>
      </c>
      <c r="AC550" s="545">
        <f>AB552*'Volume &amp; CPI forecast'!AC13</f>
        <v>3396054.2966933185</v>
      </c>
      <c r="AD550" s="545">
        <f>AC552*'Volume &amp; CPI forecast'!AD13</f>
        <v>3363457.3263644525</v>
      </c>
      <c r="AE550" s="545">
        <f>AD552*'Volume &amp; CPI forecast'!AE13</f>
        <v>3330050.2651032014</v>
      </c>
      <c r="AF550" s="545">
        <f>AE552*'Volume &amp; CPI forecast'!AF13</f>
        <v>3295808.5104645249</v>
      </c>
      <c r="AG550" s="545">
        <f>AF552*'Volume &amp; CPI forecast'!AG13</f>
        <v>3260711.219052583</v>
      </c>
      <c r="AH550" s="545">
        <f>AG552*'Volume &amp; CPI forecast'!AH13</f>
        <v>3224737.025972412</v>
      </c>
      <c r="AI550" s="545">
        <f>AH552*'Volume &amp; CPI forecast'!AI13</f>
        <v>3187864.0337099875</v>
      </c>
      <c r="AJ550" s="545">
        <f>AI552*'Volume &amp; CPI forecast'!AJ13</f>
        <v>3193353.566360075</v>
      </c>
      <c r="AK550" s="545">
        <f>AJ552*'Volume &amp; CPI forecast'!AK13</f>
        <v>0</v>
      </c>
      <c r="AL550" s="545">
        <f>AK552*'Volume &amp; CPI forecast'!AL13</f>
        <v>0</v>
      </c>
      <c r="AM550" s="545">
        <f>AL552*'Volume &amp; CPI forecast'!AM13</f>
        <v>0</v>
      </c>
    </row>
    <row r="551" spans="1:39">
      <c r="A551" s="100"/>
      <c r="B551" s="100"/>
      <c r="C551" s="100"/>
      <c r="D551" s="179" t="str">
        <f t="shared" si="504"/>
        <v>Airfield Runway Apron Taxi</v>
      </c>
      <c r="E551" s="165" t="str">
        <f>H498</f>
        <v>Airfield</v>
      </c>
      <c r="F551" s="165"/>
      <c r="G551" s="165" t="s">
        <v>87</v>
      </c>
      <c r="H551" s="121"/>
      <c r="I551" s="165"/>
      <c r="J551" s="165"/>
      <c r="K551" s="197"/>
      <c r="L551" s="197"/>
      <c r="M551" s="477"/>
      <c r="N551" s="164">
        <f t="shared" ref="N551:X551" si="512">IF(M547&gt;0,M549/AVERAGE(M547,M552)*N550,0)</f>
        <v>0</v>
      </c>
      <c r="O551" s="164">
        <f t="shared" si="512"/>
        <v>0</v>
      </c>
      <c r="P551" s="164">
        <f t="shared" si="512"/>
        <v>89021.485089030131</v>
      </c>
      <c r="Q551" s="164">
        <f t="shared" si="512"/>
        <v>88935.924997327864</v>
      </c>
      <c r="R551" s="164">
        <f t="shared" si="512"/>
        <v>91340.127782717915</v>
      </c>
      <c r="S551" s="164">
        <f t="shared" si="512"/>
        <v>94863.220831679064</v>
      </c>
      <c r="T551" s="164">
        <f t="shared" si="512"/>
        <v>118940.23789697164</v>
      </c>
      <c r="U551" s="164">
        <f t="shared" si="512"/>
        <v>116358.43790486331</v>
      </c>
      <c r="V551" s="164">
        <f t="shared" si="512"/>
        <v>116344.6808530875</v>
      </c>
      <c r="W551" s="164">
        <f t="shared" si="512"/>
        <v>116329.31686961067</v>
      </c>
      <c r="X551" s="164">
        <f t="shared" si="512"/>
        <v>116313.30991983981</v>
      </c>
      <c r="Y551" s="164">
        <f t="shared" ref="Y551:AM551" si="513">IF(X547&gt;0,X549/AVERAGE(X547,X552)*Y550,0)</f>
        <v>116296.62353225908</v>
      </c>
      <c r="Z551" s="164">
        <f t="shared" si="513"/>
        <v>116043.37402130192</v>
      </c>
      <c r="AA551" s="164">
        <f t="shared" si="513"/>
        <v>115021.13497005218</v>
      </c>
      <c r="AB551" s="164">
        <f t="shared" si="513"/>
        <v>114575.67330098253</v>
      </c>
      <c r="AC551" s="164">
        <f t="shared" si="513"/>
        <v>114281.77202468747</v>
      </c>
      <c r="AD551" s="164">
        <f t="shared" si="513"/>
        <v>114088.43899122925</v>
      </c>
      <c r="AE551" s="164">
        <f t="shared" si="513"/>
        <v>114069.11282699354</v>
      </c>
      <c r="AF551" s="164">
        <f t="shared" si="513"/>
        <v>114048.82911895444</v>
      </c>
      <c r="AG551" s="164">
        <f t="shared" si="513"/>
        <v>114027.60443615018</v>
      </c>
      <c r="AH551" s="164">
        <f t="shared" si="513"/>
        <v>114005.37864612653</v>
      </c>
      <c r="AI551" s="164">
        <f t="shared" si="513"/>
        <v>113982.08648040322</v>
      </c>
      <c r="AJ551" s="164">
        <f t="shared" si="513"/>
        <v>71418.902342580244</v>
      </c>
      <c r="AK551" s="164">
        <f t="shared" si="513"/>
        <v>0</v>
      </c>
      <c r="AL551" s="164">
        <f t="shared" si="513"/>
        <v>0</v>
      </c>
      <c r="AM551" s="164">
        <f t="shared" si="513"/>
        <v>0</v>
      </c>
    </row>
    <row r="552" spans="1:39">
      <c r="A552" s="100"/>
      <c r="B552" s="100"/>
      <c r="C552" s="100"/>
      <c r="D552" s="179" t="str">
        <f t="shared" si="504"/>
        <v>Airfield Runway Apron Taxi</v>
      </c>
      <c r="E552" s="165" t="str">
        <f>H498</f>
        <v>Airfield</v>
      </c>
      <c r="F552" s="165"/>
      <c r="G552" s="200" t="s">
        <v>76</v>
      </c>
      <c r="H552" s="201"/>
      <c r="I552" s="200"/>
      <c r="J552" s="200"/>
      <c r="K552" s="199">
        <f>K166</f>
        <v>0</v>
      </c>
      <c r="L552" s="199">
        <f>L166</f>
        <v>0</v>
      </c>
      <c r="M552" s="527">
        <f>M166</f>
        <v>0</v>
      </c>
      <c r="N552" s="527">
        <f>N166</f>
        <v>95048211.352828562</v>
      </c>
      <c r="O552" s="198">
        <f t="shared" ref="O552:AM552" si="514">SUM(O547:O548,O550)-SUM(O549,O551)</f>
        <v>124178793.34394582</v>
      </c>
      <c r="P552" s="198">
        <f t="shared" si="514"/>
        <v>133264560.066533</v>
      </c>
      <c r="Q552" s="198">
        <f t="shared" si="514"/>
        <v>137615783.54462108</v>
      </c>
      <c r="R552" s="198">
        <f t="shared" si="514"/>
        <v>141505376.56897557</v>
      </c>
      <c r="S552" s="198">
        <f t="shared" si="514"/>
        <v>146771187.3800571</v>
      </c>
      <c r="T552" s="198">
        <f t="shared" si="514"/>
        <v>145649263.32477504</v>
      </c>
      <c r="U552" s="198">
        <f t="shared" si="514"/>
        <v>144501872.96810299</v>
      </c>
      <c r="V552" s="198">
        <f t="shared" si="514"/>
        <v>143325811.60956594</v>
      </c>
      <c r="W552" s="198">
        <f t="shared" si="514"/>
        <v>142120364.08104897</v>
      </c>
      <c r="X552" s="198">
        <f t="shared" si="514"/>
        <v>140884796.37126881</v>
      </c>
      <c r="Y552" s="198">
        <f t="shared" si="514"/>
        <v>139627994.39513174</v>
      </c>
      <c r="Z552" s="198">
        <f t="shared" si="514"/>
        <v>138381076.9456822</v>
      </c>
      <c r="AA552" s="198">
        <f t="shared" si="514"/>
        <v>137121506.42141852</v>
      </c>
      <c r="AB552" s="198">
        <f t="shared" si="514"/>
        <v>135842171.86773273</v>
      </c>
      <c r="AC552" s="198">
        <f t="shared" si="514"/>
        <v>134538293.0545781</v>
      </c>
      <c r="AD552" s="198">
        <f t="shared" si="514"/>
        <v>133202010.60412805</v>
      </c>
      <c r="AE552" s="198">
        <f t="shared" si="514"/>
        <v>131832340.41858099</v>
      </c>
      <c r="AF552" s="198">
        <f t="shared" si="514"/>
        <v>130428448.7621033</v>
      </c>
      <c r="AG552" s="198">
        <f t="shared" si="514"/>
        <v>128989481.03889647</v>
      </c>
      <c r="AH552" s="198">
        <f t="shared" si="514"/>
        <v>127514561.34839949</v>
      </c>
      <c r="AI552" s="198">
        <f t="shared" si="514"/>
        <v>127734142.65440299</v>
      </c>
      <c r="AJ552" s="198">
        <f t="shared" si="514"/>
        <v>128001776.67719439</v>
      </c>
      <c r="AK552" s="198">
        <f t="shared" si="514"/>
        <v>125147476.0359683</v>
      </c>
      <c r="AL552" s="198">
        <f t="shared" si="514"/>
        <v>122293175.39474222</v>
      </c>
      <c r="AM552" s="198">
        <f t="shared" si="514"/>
        <v>119438874.75351614</v>
      </c>
    </row>
    <row r="553" spans="1:39">
      <c r="A553" s="100"/>
      <c r="B553" s="100"/>
      <c r="C553" s="100"/>
      <c r="D553" s="179"/>
      <c r="E553" s="165"/>
      <c r="F553" s="165"/>
      <c r="G553" s="165"/>
      <c r="H553" s="121"/>
      <c r="I553" s="165"/>
      <c r="J553" s="165"/>
      <c r="K553" s="197"/>
      <c r="L553" s="197"/>
      <c r="M553" s="477"/>
      <c r="N553" s="164"/>
      <c r="O553" s="164"/>
      <c r="P553" s="164"/>
      <c r="Q553" s="164"/>
      <c r="R553" s="164"/>
      <c r="S553" s="164"/>
      <c r="T553" s="164"/>
      <c r="U553" s="164"/>
      <c r="V553" s="164"/>
      <c r="W553" s="164"/>
      <c r="X553" s="164"/>
      <c r="Y553" s="164"/>
      <c r="Z553" s="164"/>
      <c r="AA553" s="164"/>
      <c r="AB553" s="164"/>
      <c r="AC553" s="164"/>
      <c r="AD553" s="164"/>
      <c r="AE553" s="164"/>
      <c r="AF553" s="164"/>
      <c r="AG553" s="164"/>
      <c r="AH553" s="164"/>
      <c r="AI553" s="164"/>
      <c r="AJ553" s="164"/>
      <c r="AK553" s="164"/>
      <c r="AL553" s="164"/>
      <c r="AM553" s="164"/>
    </row>
    <row r="554" spans="1:39">
      <c r="A554" s="100"/>
      <c r="B554" s="100"/>
      <c r="C554" s="100"/>
      <c r="D554" s="179"/>
      <c r="E554" s="165"/>
      <c r="F554" s="165"/>
      <c r="G554" s="206" t="s">
        <v>32</v>
      </c>
      <c r="H554" s="121"/>
      <c r="I554" s="165"/>
      <c r="J554" s="165"/>
      <c r="K554" s="204"/>
      <c r="L554" s="197"/>
      <c r="M554" s="477"/>
      <c r="N554" s="164"/>
      <c r="O554" s="164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</row>
    <row r="555" spans="1:39">
      <c r="A555" s="100"/>
      <c r="B555" s="100"/>
      <c r="C555" s="100"/>
      <c r="D555" s="179"/>
      <c r="E555" s="165"/>
      <c r="F555" s="165"/>
      <c r="G555" s="205"/>
      <c r="H555" s="121"/>
      <c r="I555" s="165"/>
      <c r="J555" s="165"/>
      <c r="K555" s="204"/>
      <c r="L555" s="197"/>
      <c r="M555" s="477"/>
      <c r="N555" s="164"/>
      <c r="O555" s="164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  <c r="AA555" s="165"/>
      <c r="AB555" s="165"/>
      <c r="AC555" s="165"/>
      <c r="AD555" s="165"/>
      <c r="AE555" s="165"/>
      <c r="AF555" s="165"/>
      <c r="AG555" s="165"/>
      <c r="AH555" s="165"/>
      <c r="AI555" s="165"/>
      <c r="AJ555" s="165"/>
      <c r="AK555" s="165"/>
      <c r="AL555" s="165"/>
      <c r="AM555" s="165"/>
    </row>
    <row r="556" spans="1:39">
      <c r="A556" s="100"/>
      <c r="B556" s="100"/>
      <c r="C556" s="100"/>
      <c r="D556" s="179" t="str">
        <f t="shared" ref="D556:D561" si="515">$G$554</f>
        <v>Infrastructure</v>
      </c>
      <c r="E556" s="165" t="str">
        <f>H498</f>
        <v>Airfield</v>
      </c>
      <c r="F556" s="165"/>
      <c r="G556" s="165" t="s">
        <v>80</v>
      </c>
      <c r="H556" s="121"/>
      <c r="I556" s="165"/>
      <c r="J556" s="165"/>
      <c r="K556" s="530">
        <f>K561</f>
        <v>0</v>
      </c>
      <c r="L556" s="530">
        <f>L561</f>
        <v>0</v>
      </c>
      <c r="M556" s="531"/>
      <c r="N556" s="164">
        <f t="shared" ref="N556:S556" si="516">M561</f>
        <v>0</v>
      </c>
      <c r="O556" s="164">
        <f t="shared" si="516"/>
        <v>7983090.97578853</v>
      </c>
      <c r="P556" s="164">
        <f t="shared" si="516"/>
        <v>7460398.8471429404</v>
      </c>
      <c r="Q556" s="164">
        <f t="shared" si="516"/>
        <v>6908031.5097142234</v>
      </c>
      <c r="R556" s="164">
        <f t="shared" si="516"/>
        <v>6343429.8058486227</v>
      </c>
      <c r="S556" s="164">
        <f t="shared" si="516"/>
        <v>5767392.8294273308</v>
      </c>
      <c r="T556" s="164">
        <f t="shared" ref="T556:Y556" si="517">S561</f>
        <v>5179933.2497442327</v>
      </c>
      <c r="U556" s="164">
        <f t="shared" si="517"/>
        <v>4480712.0658240514</v>
      </c>
      <c r="V556" s="164">
        <f t="shared" si="517"/>
        <v>3764389.147015498</v>
      </c>
      <c r="W556" s="164">
        <f t="shared" si="517"/>
        <v>3030451.6291022394</v>
      </c>
      <c r="X556" s="164">
        <f t="shared" si="517"/>
        <v>2278593.4346018177</v>
      </c>
      <c r="Y556" s="164">
        <f t="shared" si="517"/>
        <v>1508618.9102889355</v>
      </c>
      <c r="Z556" s="164">
        <f t="shared" ref="Z556:AM556" si="518">Y561</f>
        <v>1518952.6883735813</v>
      </c>
      <c r="AA556" s="164">
        <f t="shared" si="518"/>
        <v>1545386.7732852276</v>
      </c>
      <c r="AB556" s="164">
        <f t="shared" si="518"/>
        <v>1572480.2431695606</v>
      </c>
      <c r="AC556" s="164">
        <f t="shared" si="518"/>
        <v>1600251.0319613316</v>
      </c>
      <c r="AD556" s="164">
        <f t="shared" si="518"/>
        <v>1628716.0726822342</v>
      </c>
      <c r="AE556" s="164">
        <f t="shared" si="518"/>
        <v>1657892.7218131309</v>
      </c>
      <c r="AF556" s="164">
        <f t="shared" si="518"/>
        <v>1687798.7697493804</v>
      </c>
      <c r="AG556" s="164">
        <f t="shared" si="518"/>
        <v>1718452.4516485485</v>
      </c>
      <c r="AH556" s="164">
        <f t="shared" si="518"/>
        <v>1749872.4585493</v>
      </c>
      <c r="AI556" s="164">
        <f t="shared" si="518"/>
        <v>1782077.9487682653</v>
      </c>
      <c r="AJ556" s="164">
        <f t="shared" si="518"/>
        <v>1826345.8978281198</v>
      </c>
      <c r="AK556" s="164">
        <f t="shared" si="518"/>
        <v>1872004.5452738227</v>
      </c>
      <c r="AL556" s="164">
        <f t="shared" si="518"/>
        <v>1872004.5452738227</v>
      </c>
      <c r="AM556" s="164">
        <f t="shared" si="518"/>
        <v>1872004.5452738227</v>
      </c>
    </row>
    <row r="557" spans="1:39">
      <c r="A557" s="100"/>
      <c r="B557" s="100"/>
      <c r="C557" s="100"/>
      <c r="D557" s="179" t="str">
        <f t="shared" si="515"/>
        <v>Infrastructure</v>
      </c>
      <c r="E557" s="165" t="str">
        <f>H498</f>
        <v>Airfield</v>
      </c>
      <c r="F557" s="165"/>
      <c r="G557" s="165" t="s">
        <v>83</v>
      </c>
      <c r="H557" s="121"/>
      <c r="I557" s="165"/>
      <c r="J557" s="165"/>
      <c r="K557" s="532"/>
      <c r="L557" s="532"/>
      <c r="M557" s="533"/>
      <c r="N557" s="164">
        <f t="shared" ref="N557:X557" si="519">SUMIFS(N$9:N$26,$J$9:$J$26,$G554,$K$9:$K$26,$G557)</f>
        <v>0</v>
      </c>
      <c r="O557" s="164">
        <f t="shared" si="519"/>
        <v>110175.56983847449</v>
      </c>
      <c r="P557" s="164">
        <f t="shared" si="519"/>
        <v>109917.0330170524</v>
      </c>
      <c r="Q557" s="164">
        <f t="shared" si="519"/>
        <v>111479.06221970578</v>
      </c>
      <c r="R557" s="164">
        <f t="shared" si="519"/>
        <v>114158.2303875503</v>
      </c>
      <c r="S557" s="164">
        <f t="shared" si="519"/>
        <v>117137.01685176583</v>
      </c>
      <c r="T557" s="164">
        <f t="shared" si="519"/>
        <v>0</v>
      </c>
      <c r="U557" s="164">
        <f t="shared" si="519"/>
        <v>0</v>
      </c>
      <c r="V557" s="164">
        <f t="shared" si="519"/>
        <v>0</v>
      </c>
      <c r="W557" s="164">
        <f t="shared" si="519"/>
        <v>0</v>
      </c>
      <c r="X557" s="164">
        <f t="shared" si="519"/>
        <v>0</v>
      </c>
      <c r="Y557" s="164">
        <f>SUMIFS(Y$9:Y$26,$J$9:$J$26,$G554,$K$9:$K$26,$G557)</f>
        <v>0</v>
      </c>
      <c r="Z557" s="164">
        <f t="shared" ref="Z557:AM557" si="520">SUMIFS(Z$9:Z$26,$J$9:$J$26,$G554,$K$9:$K$26,$G557)</f>
        <v>0</v>
      </c>
      <c r="AA557" s="164">
        <f t="shared" si="520"/>
        <v>0</v>
      </c>
      <c r="AB557" s="164">
        <f t="shared" si="520"/>
        <v>0</v>
      </c>
      <c r="AC557" s="164">
        <f t="shared" si="520"/>
        <v>0</v>
      </c>
      <c r="AD557" s="164">
        <f t="shared" si="520"/>
        <v>0</v>
      </c>
      <c r="AE557" s="164">
        <f t="shared" si="520"/>
        <v>0</v>
      </c>
      <c r="AF557" s="164">
        <f t="shared" si="520"/>
        <v>0</v>
      </c>
      <c r="AG557" s="164">
        <f t="shared" si="520"/>
        <v>0</v>
      </c>
      <c r="AH557" s="164">
        <f t="shared" si="520"/>
        <v>0</v>
      </c>
      <c r="AI557" s="164">
        <f t="shared" si="520"/>
        <v>0</v>
      </c>
      <c r="AJ557" s="164">
        <f t="shared" si="520"/>
        <v>0</v>
      </c>
      <c r="AK557" s="164">
        <f t="shared" si="520"/>
        <v>0</v>
      </c>
      <c r="AL557" s="164">
        <f t="shared" si="520"/>
        <v>0</v>
      </c>
      <c r="AM557" s="164">
        <f t="shared" si="520"/>
        <v>0</v>
      </c>
    </row>
    <row r="558" spans="1:39">
      <c r="A558" s="100"/>
      <c r="B558" s="100"/>
      <c r="C558" s="100"/>
      <c r="D558" s="179" t="str">
        <f t="shared" si="515"/>
        <v>Infrastructure</v>
      </c>
      <c r="E558" s="165" t="str">
        <f>H498</f>
        <v>Airfield</v>
      </c>
      <c r="F558" s="165"/>
      <c r="G558" s="165" t="s">
        <v>78</v>
      </c>
      <c r="H558" s="121"/>
      <c r="I558" s="165"/>
      <c r="J558" s="165"/>
      <c r="K558" s="197"/>
      <c r="L558" s="197"/>
      <c r="M558" s="477"/>
      <c r="N558" s="164">
        <f>N173+SUMIFS(N$9:N$26,$J$9:$J$26,$G554,$K$9:$K$26,$G558)</f>
        <v>0</v>
      </c>
      <c r="O558" s="164">
        <f t="shared" ref="O558:X558" si="521">O173+SUMIFS(O$9:O$26,$J$9:$J$26,$G554,$K$9:$K$26,$G558)</f>
        <v>800512.60897562245</v>
      </c>
      <c r="P558" s="164">
        <f t="shared" si="521"/>
        <v>802710.94963596354</v>
      </c>
      <c r="Q558" s="164">
        <f t="shared" si="521"/>
        <v>804940.53088035772</v>
      </c>
      <c r="R558" s="164">
        <f t="shared" si="521"/>
        <v>807223.69548810867</v>
      </c>
      <c r="S558" s="164">
        <f t="shared" si="521"/>
        <v>809566.43582514394</v>
      </c>
      <c r="T558" s="164">
        <f t="shared" si="521"/>
        <v>809566.43582514394</v>
      </c>
      <c r="U558" s="164">
        <f t="shared" si="521"/>
        <v>809566.43582514394</v>
      </c>
      <c r="V558" s="164">
        <f t="shared" si="521"/>
        <v>809566.43582514394</v>
      </c>
      <c r="W558" s="164">
        <f t="shared" si="521"/>
        <v>809566.43582514394</v>
      </c>
      <c r="X558" s="164">
        <f t="shared" si="521"/>
        <v>809566.43582514243</v>
      </c>
      <c r="Y558" s="164">
        <f>Y173+SUMIFS(Y$9:Y$26,$J$9:$J$26,$G554,$K$9:$K$26,$G558)</f>
        <v>11257.338246290976</v>
      </c>
      <c r="Z558" s="164">
        <f t="shared" ref="Z558:AM558" si="522">Z173+SUMIFS(Z$9:Z$26,$J$9:$J$26,$G554,$K$9:$K$26,$G558)</f>
        <v>11257.338246290976</v>
      </c>
      <c r="AA558" s="164">
        <f t="shared" si="522"/>
        <v>11257.338246290976</v>
      </c>
      <c r="AB558" s="164">
        <f t="shared" si="522"/>
        <v>11257.338246290976</v>
      </c>
      <c r="AC558" s="164">
        <f t="shared" si="522"/>
        <v>11257.338246290976</v>
      </c>
      <c r="AD558" s="164">
        <f t="shared" si="522"/>
        <v>11257.338246290976</v>
      </c>
      <c r="AE558" s="164">
        <f t="shared" si="522"/>
        <v>11257.338246290976</v>
      </c>
      <c r="AF558" s="164">
        <f t="shared" si="522"/>
        <v>11257.338246290976</v>
      </c>
      <c r="AG558" s="164">
        <f t="shared" si="522"/>
        <v>11257.338246290976</v>
      </c>
      <c r="AH558" s="164">
        <f t="shared" si="522"/>
        <v>11257.338246290976</v>
      </c>
      <c r="AI558" s="164">
        <f t="shared" si="522"/>
        <v>0</v>
      </c>
      <c r="AJ558" s="164">
        <f t="shared" si="522"/>
        <v>0</v>
      </c>
      <c r="AK558" s="164">
        <f t="shared" si="522"/>
        <v>0</v>
      </c>
      <c r="AL558" s="164">
        <f t="shared" si="522"/>
        <v>0</v>
      </c>
      <c r="AM558" s="164">
        <f t="shared" si="522"/>
        <v>0</v>
      </c>
    </row>
    <row r="559" spans="1:39">
      <c r="A559" s="100"/>
      <c r="B559" s="100"/>
      <c r="C559" s="100"/>
      <c r="D559" s="179" t="str">
        <f t="shared" si="515"/>
        <v>Infrastructure</v>
      </c>
      <c r="E559" s="165" t="str">
        <f>H498</f>
        <v>Airfield</v>
      </c>
      <c r="F559" s="165"/>
      <c r="G559" s="165" t="s">
        <v>88</v>
      </c>
      <c r="H559" s="121"/>
      <c r="I559" s="165"/>
      <c r="J559" s="165"/>
      <c r="K559" s="197"/>
      <c r="L559" s="197"/>
      <c r="M559" s="477"/>
      <c r="N559" s="230"/>
      <c r="O559" s="230">
        <f>N561*'Volume &amp; CPI forecast'!O$13</f>
        <v>167644.91049155913</v>
      </c>
      <c r="P559" s="230">
        <f>O561*'Volume &amp; CPI forecast'!P$13</f>
        <v>156668.37579000177</v>
      </c>
      <c r="Q559" s="230">
        <f>P561*'Volume &amp; CPI forecast'!Q$13</f>
        <v>145068.66170399869</v>
      </c>
      <c r="R559" s="230">
        <f>Q561*'Volume &amp; CPI forecast'!R$13</f>
        <v>133212.02592282108</v>
      </c>
      <c r="S559" s="230">
        <f>R561*'Volume &amp; CPI forecast'!S$13</f>
        <v>121115.24941797396</v>
      </c>
      <c r="T559" s="230">
        <f>S561*'Volume &amp; CPI forecast'!T$13</f>
        <v>129498.33124360582</v>
      </c>
      <c r="U559" s="230">
        <f>T561*'Volume &amp; CPI forecast'!U$13</f>
        <v>112017.80164560128</v>
      </c>
      <c r="V559" s="230">
        <f>U561*'Volume &amp; CPI forecast'!V$13</f>
        <v>94109.72867538745</v>
      </c>
      <c r="W559" s="230">
        <f>V561*'Volume &amp; CPI forecast'!W$13</f>
        <v>75761.290727555985</v>
      </c>
      <c r="X559" s="230">
        <f>W561*'Volume &amp; CPI forecast'!X$13</f>
        <v>56964.835865045447</v>
      </c>
      <c r="Y559" s="230">
        <f>X561*'Volume &amp; CPI forecast'!Y$13</f>
        <v>37715.47275722339</v>
      </c>
      <c r="Z559" s="230">
        <f>Y561*'Volume &amp; CPI forecast'!Z$13</f>
        <v>37973.817209339533</v>
      </c>
      <c r="AA559" s="230">
        <f>Z561*'Volume &amp; CPI forecast'!AA$13</f>
        <v>38634.669332130688</v>
      </c>
      <c r="AB559" s="230">
        <f>AA561*'Volume &amp; CPI forecast'!AB$13</f>
        <v>39312.006079239014</v>
      </c>
      <c r="AC559" s="230">
        <f>AB561*'Volume &amp; CPI forecast'!AC$13</f>
        <v>40006.27579903329</v>
      </c>
      <c r="AD559" s="230">
        <f>AC561*'Volume &amp; CPI forecast'!AD$13</f>
        <v>40717.901817055856</v>
      </c>
      <c r="AE559" s="230">
        <f>AD561*'Volume &amp; CPI forecast'!AE$13</f>
        <v>41447.318045328277</v>
      </c>
      <c r="AF559" s="230">
        <f>AE561*'Volume &amp; CPI forecast'!AF$13</f>
        <v>42194.969243734515</v>
      </c>
      <c r="AG559" s="230">
        <f>AF561*'Volume &amp; CPI forecast'!AG$13</f>
        <v>42961.311291213715</v>
      </c>
      <c r="AH559" s="230">
        <f>AG561*'Volume &amp; CPI forecast'!AH$13</f>
        <v>43746.811463732505</v>
      </c>
      <c r="AI559" s="230">
        <f>AH561*'Volume &amp; CPI forecast'!AI$13</f>
        <v>44551.948719206637</v>
      </c>
      <c r="AJ559" s="230">
        <f>AI561*'Volume &amp; CPI forecast'!AJ$13</f>
        <v>45658.647445702998</v>
      </c>
      <c r="AK559" s="230">
        <f>AJ561*'Volume &amp; CPI forecast'!AK$13</f>
        <v>0</v>
      </c>
      <c r="AL559" s="230">
        <f>AK561*'Volume &amp; CPI forecast'!AL$13</f>
        <v>0</v>
      </c>
      <c r="AM559" s="230">
        <f>AL561*'Volume &amp; CPI forecast'!AM$13</f>
        <v>0</v>
      </c>
    </row>
    <row r="560" spans="1:39">
      <c r="A560" s="100"/>
      <c r="B560" s="100"/>
      <c r="C560" s="100"/>
      <c r="D560" s="179" t="str">
        <f t="shared" si="515"/>
        <v>Infrastructure</v>
      </c>
      <c r="E560" s="165" t="str">
        <f>H498</f>
        <v>Airfield</v>
      </c>
      <c r="F560" s="165"/>
      <c r="G560" s="165" t="s">
        <v>87</v>
      </c>
      <c r="H560" s="121"/>
      <c r="I560" s="165"/>
      <c r="J560" s="165"/>
      <c r="K560" s="197"/>
      <c r="L560" s="197"/>
      <c r="M560" s="477"/>
      <c r="N560" s="164">
        <f t="shared" ref="N560:X560" si="523">IF(M556&gt;0,M558/AVERAGE(M556,M561)*N559,0)</f>
        <v>0</v>
      </c>
      <c r="O560" s="164">
        <f t="shared" si="523"/>
        <v>0</v>
      </c>
      <c r="P560" s="164">
        <f t="shared" si="523"/>
        <v>16241.796599807825</v>
      </c>
      <c r="Q560" s="164">
        <f t="shared" si="523"/>
        <v>16208.896908946161</v>
      </c>
      <c r="R560" s="164">
        <f t="shared" si="523"/>
        <v>16183.537243554056</v>
      </c>
      <c r="S560" s="164">
        <f t="shared" si="523"/>
        <v>16145.41012769332</v>
      </c>
      <c r="T560" s="164">
        <f t="shared" si="523"/>
        <v>19153.079338644016</v>
      </c>
      <c r="U560" s="164">
        <f t="shared" si="523"/>
        <v>18774.284629010377</v>
      </c>
      <c r="V560" s="164">
        <f t="shared" si="523"/>
        <v>18480.810763502119</v>
      </c>
      <c r="W560" s="164">
        <f t="shared" si="523"/>
        <v>18053.049402833356</v>
      </c>
      <c r="X560" s="164">
        <f t="shared" si="523"/>
        <v>17372.924352785216</v>
      </c>
      <c r="Y560" s="164">
        <f t="shared" ref="Y560:AM560" si="524">IF(X556&gt;0,X558/AVERAGE(X556,X561)*Y559,0)</f>
        <v>16124.356426286608</v>
      </c>
      <c r="Z560" s="164">
        <f t="shared" si="524"/>
        <v>282.39405140225847</v>
      </c>
      <c r="AA560" s="164">
        <f t="shared" si="524"/>
        <v>283.86120150667909</v>
      </c>
      <c r="AB560" s="164">
        <f t="shared" si="524"/>
        <v>283.87904117696871</v>
      </c>
      <c r="AC560" s="164">
        <f t="shared" si="524"/>
        <v>283.89683183965371</v>
      </c>
      <c r="AD560" s="164">
        <f t="shared" si="524"/>
        <v>283.91443986820184</v>
      </c>
      <c r="AE560" s="164">
        <f t="shared" si="524"/>
        <v>283.93186278776517</v>
      </c>
      <c r="AF560" s="164">
        <f t="shared" si="524"/>
        <v>283.94909827548213</v>
      </c>
      <c r="AG560" s="164">
        <f t="shared" si="524"/>
        <v>283.96614417119258</v>
      </c>
      <c r="AH560" s="164">
        <f t="shared" si="524"/>
        <v>283.98299847626657</v>
      </c>
      <c r="AI560" s="164">
        <f t="shared" si="524"/>
        <v>283.99965935219592</v>
      </c>
      <c r="AJ560" s="164">
        <f t="shared" si="524"/>
        <v>0</v>
      </c>
      <c r="AK560" s="164">
        <f t="shared" si="524"/>
        <v>0</v>
      </c>
      <c r="AL560" s="164">
        <f t="shared" si="524"/>
        <v>0</v>
      </c>
      <c r="AM560" s="164">
        <f t="shared" si="524"/>
        <v>0</v>
      </c>
    </row>
    <row r="561" spans="1:39">
      <c r="A561" s="100"/>
      <c r="B561" s="100"/>
      <c r="C561" s="100"/>
      <c r="D561" s="179" t="str">
        <f t="shared" si="515"/>
        <v>Infrastructure</v>
      </c>
      <c r="E561" s="165" t="str">
        <f>H498</f>
        <v>Airfield</v>
      </c>
      <c r="F561" s="165"/>
      <c r="G561" s="200" t="s">
        <v>76</v>
      </c>
      <c r="H561" s="201"/>
      <c r="I561" s="200"/>
      <c r="J561" s="200"/>
      <c r="K561" s="199">
        <f>K175</f>
        <v>0</v>
      </c>
      <c r="L561" s="199">
        <f>L175</f>
        <v>0</v>
      </c>
      <c r="M561" s="527">
        <f>M175</f>
        <v>0</v>
      </c>
      <c r="N561" s="527">
        <f>N175</f>
        <v>7983090.97578853</v>
      </c>
      <c r="O561" s="198">
        <f t="shared" ref="O561:AM561" si="525">SUM(O556:O557,O559)-SUM(O558,O560)</f>
        <v>7460398.8471429404</v>
      </c>
      <c r="P561" s="198">
        <f t="shared" si="525"/>
        <v>6908031.5097142234</v>
      </c>
      <c r="Q561" s="198">
        <f t="shared" si="525"/>
        <v>6343429.8058486227</v>
      </c>
      <c r="R561" s="198">
        <f t="shared" si="525"/>
        <v>5767392.8294273308</v>
      </c>
      <c r="S561" s="198">
        <f t="shared" si="525"/>
        <v>5179933.2497442327</v>
      </c>
      <c r="T561" s="198">
        <f t="shared" si="525"/>
        <v>4480712.0658240514</v>
      </c>
      <c r="U561" s="198">
        <f t="shared" si="525"/>
        <v>3764389.147015498</v>
      </c>
      <c r="V561" s="198">
        <f t="shared" si="525"/>
        <v>3030451.6291022394</v>
      </c>
      <c r="W561" s="198">
        <f t="shared" si="525"/>
        <v>2278593.4346018177</v>
      </c>
      <c r="X561" s="198">
        <f t="shared" si="525"/>
        <v>1508618.9102889355</v>
      </c>
      <c r="Y561" s="198">
        <f t="shared" si="525"/>
        <v>1518952.6883735813</v>
      </c>
      <c r="Z561" s="198">
        <f t="shared" si="525"/>
        <v>1545386.7732852276</v>
      </c>
      <c r="AA561" s="198">
        <f t="shared" si="525"/>
        <v>1572480.2431695606</v>
      </c>
      <c r="AB561" s="198">
        <f t="shared" si="525"/>
        <v>1600251.0319613316</v>
      </c>
      <c r="AC561" s="198">
        <f t="shared" si="525"/>
        <v>1628716.0726822342</v>
      </c>
      <c r="AD561" s="198">
        <f t="shared" si="525"/>
        <v>1657892.7218131309</v>
      </c>
      <c r="AE561" s="198">
        <f t="shared" si="525"/>
        <v>1687798.7697493804</v>
      </c>
      <c r="AF561" s="198">
        <f t="shared" si="525"/>
        <v>1718452.4516485485</v>
      </c>
      <c r="AG561" s="198">
        <f t="shared" si="525"/>
        <v>1749872.4585493</v>
      </c>
      <c r="AH561" s="198">
        <f t="shared" si="525"/>
        <v>1782077.9487682653</v>
      </c>
      <c r="AI561" s="198">
        <f t="shared" si="525"/>
        <v>1826345.8978281198</v>
      </c>
      <c r="AJ561" s="198">
        <f t="shared" si="525"/>
        <v>1872004.5452738227</v>
      </c>
      <c r="AK561" s="198">
        <f t="shared" si="525"/>
        <v>1872004.5452738227</v>
      </c>
      <c r="AL561" s="198">
        <f t="shared" si="525"/>
        <v>1872004.5452738227</v>
      </c>
      <c r="AM561" s="198">
        <f t="shared" si="525"/>
        <v>1872004.5452738227</v>
      </c>
    </row>
    <row r="562" spans="1:39">
      <c r="A562" s="100"/>
      <c r="B562" s="100"/>
      <c r="C562" s="100"/>
      <c r="D562" s="179"/>
      <c r="E562" s="165"/>
      <c r="F562" s="165"/>
      <c r="G562" s="165"/>
      <c r="H562" s="121"/>
      <c r="I562" s="165"/>
      <c r="J562" s="165"/>
      <c r="K562" s="197"/>
      <c r="L562" s="197"/>
      <c r="M562" s="477"/>
      <c r="N562" s="164"/>
      <c r="O562" s="164"/>
      <c r="P562" s="164"/>
      <c r="Q562" s="164"/>
      <c r="R562" s="164"/>
      <c r="S562" s="164"/>
      <c r="T562" s="164"/>
      <c r="U562" s="164"/>
      <c r="V562" s="164"/>
      <c r="W562" s="164"/>
      <c r="X562" s="164"/>
      <c r="Y562" s="164"/>
      <c r="Z562" s="164"/>
      <c r="AA562" s="164"/>
      <c r="AB562" s="164"/>
      <c r="AC562" s="164"/>
      <c r="AD562" s="164"/>
      <c r="AE562" s="164"/>
      <c r="AF562" s="164"/>
      <c r="AG562" s="164"/>
      <c r="AH562" s="164"/>
      <c r="AI562" s="164"/>
      <c r="AJ562" s="164"/>
      <c r="AK562" s="164"/>
      <c r="AL562" s="164"/>
      <c r="AM562" s="164"/>
    </row>
    <row r="563" spans="1:39">
      <c r="A563" s="100"/>
      <c r="B563" s="100"/>
      <c r="C563" s="100"/>
      <c r="D563" s="179"/>
      <c r="E563" s="165"/>
      <c r="F563" s="165"/>
      <c r="G563" s="206" t="s">
        <v>31</v>
      </c>
      <c r="H563" s="121"/>
      <c r="I563" s="165"/>
      <c r="J563" s="165"/>
      <c r="K563" s="204"/>
      <c r="L563" s="197"/>
      <c r="M563" s="477"/>
      <c r="N563" s="164"/>
      <c r="O563" s="164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  <c r="AA563" s="165"/>
      <c r="AB563" s="165"/>
      <c r="AC563" s="165"/>
      <c r="AD563" s="165"/>
      <c r="AE563" s="165"/>
      <c r="AF563" s="165"/>
      <c r="AG563" s="165"/>
      <c r="AH563" s="165"/>
      <c r="AI563" s="165"/>
      <c r="AJ563" s="165"/>
      <c r="AK563" s="165"/>
      <c r="AL563" s="165"/>
      <c r="AM563" s="165"/>
    </row>
    <row r="564" spans="1:39">
      <c r="A564" s="100"/>
      <c r="B564" s="100"/>
      <c r="C564" s="100"/>
      <c r="D564" s="179"/>
      <c r="E564" s="165"/>
      <c r="F564" s="165"/>
      <c r="G564" s="205"/>
      <c r="H564" s="121"/>
      <c r="I564" s="165"/>
      <c r="J564" s="165"/>
      <c r="K564" s="204"/>
      <c r="L564" s="197"/>
      <c r="M564" s="477"/>
      <c r="N564" s="164"/>
      <c r="O564" s="164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</row>
    <row r="565" spans="1:39">
      <c r="A565" s="100"/>
      <c r="B565" s="100"/>
      <c r="C565" s="100"/>
      <c r="D565" s="179" t="str">
        <f t="shared" ref="D565:D570" si="526">$G$563</f>
        <v>Terminal facilities</v>
      </c>
      <c r="E565" s="165" t="str">
        <f>H498</f>
        <v>Airfield</v>
      </c>
      <c r="F565" s="165"/>
      <c r="G565" s="165" t="s">
        <v>80</v>
      </c>
      <c r="H565" s="121"/>
      <c r="I565" s="165"/>
      <c r="J565" s="165"/>
      <c r="K565" s="530">
        <f>K570</f>
        <v>0</v>
      </c>
      <c r="L565" s="530">
        <f>L570</f>
        <v>0</v>
      </c>
      <c r="M565" s="531">
        <f>M570</f>
        <v>0</v>
      </c>
      <c r="N565" s="164">
        <f t="shared" ref="N565:S565" si="527">M570</f>
        <v>0</v>
      </c>
      <c r="O565" s="164">
        <f t="shared" si="527"/>
        <v>0</v>
      </c>
      <c r="P565" s="164">
        <f t="shared" si="527"/>
        <v>0</v>
      </c>
      <c r="Q565" s="164">
        <f t="shared" si="527"/>
        <v>0</v>
      </c>
      <c r="R565" s="164">
        <f t="shared" si="527"/>
        <v>0</v>
      </c>
      <c r="S565" s="164">
        <f t="shared" si="527"/>
        <v>0</v>
      </c>
      <c r="T565" s="164">
        <f t="shared" ref="T565:Y565" si="528">S570</f>
        <v>0</v>
      </c>
      <c r="U565" s="164">
        <f t="shared" si="528"/>
        <v>0</v>
      </c>
      <c r="V565" s="164">
        <f t="shared" si="528"/>
        <v>0</v>
      </c>
      <c r="W565" s="164">
        <f t="shared" si="528"/>
        <v>0</v>
      </c>
      <c r="X565" s="164">
        <f t="shared" si="528"/>
        <v>0</v>
      </c>
      <c r="Y565" s="164">
        <f t="shared" si="528"/>
        <v>0</v>
      </c>
      <c r="Z565" s="164">
        <f t="shared" ref="Z565:AM565" si="529">Y570</f>
        <v>0</v>
      </c>
      <c r="AA565" s="164">
        <f t="shared" si="529"/>
        <v>0</v>
      </c>
      <c r="AB565" s="164">
        <f t="shared" si="529"/>
        <v>0</v>
      </c>
      <c r="AC565" s="164">
        <f t="shared" si="529"/>
        <v>0</v>
      </c>
      <c r="AD565" s="164">
        <f t="shared" si="529"/>
        <v>0</v>
      </c>
      <c r="AE565" s="164">
        <f t="shared" si="529"/>
        <v>0</v>
      </c>
      <c r="AF565" s="164">
        <f t="shared" si="529"/>
        <v>0</v>
      </c>
      <c r="AG565" s="164">
        <f t="shared" si="529"/>
        <v>0</v>
      </c>
      <c r="AH565" s="164">
        <f t="shared" si="529"/>
        <v>0</v>
      </c>
      <c r="AI565" s="164">
        <f t="shared" si="529"/>
        <v>0</v>
      </c>
      <c r="AJ565" s="164">
        <f t="shared" si="529"/>
        <v>0</v>
      </c>
      <c r="AK565" s="164">
        <f t="shared" si="529"/>
        <v>0</v>
      </c>
      <c r="AL565" s="164">
        <f t="shared" si="529"/>
        <v>0</v>
      </c>
      <c r="AM565" s="164">
        <f t="shared" si="529"/>
        <v>0</v>
      </c>
    </row>
    <row r="566" spans="1:39">
      <c r="A566" s="100"/>
      <c r="B566" s="100"/>
      <c r="C566" s="100"/>
      <c r="D566" s="179" t="str">
        <f t="shared" si="526"/>
        <v>Terminal facilities</v>
      </c>
      <c r="E566" s="165" t="str">
        <f>H498</f>
        <v>Airfield</v>
      </c>
      <c r="F566" s="165"/>
      <c r="G566" s="165" t="s">
        <v>83</v>
      </c>
      <c r="H566" s="121"/>
      <c r="I566" s="165"/>
      <c r="J566" s="165"/>
      <c r="K566" s="532"/>
      <c r="L566" s="532"/>
      <c r="M566" s="533"/>
      <c r="N566" s="164">
        <f t="shared" ref="N566:X566" si="530">SUMIFS(N$9:N$26,$J$9:$J$26,$G563,$K$9:$K$26,$G566)</f>
        <v>0</v>
      </c>
      <c r="O566" s="164">
        <f t="shared" si="530"/>
        <v>0</v>
      </c>
      <c r="P566" s="164">
        <f t="shared" si="530"/>
        <v>0</v>
      </c>
      <c r="Q566" s="164">
        <f t="shared" si="530"/>
        <v>0</v>
      </c>
      <c r="R566" s="164">
        <f t="shared" si="530"/>
        <v>0</v>
      </c>
      <c r="S566" s="164">
        <f t="shared" si="530"/>
        <v>0</v>
      </c>
      <c r="T566" s="164">
        <f t="shared" si="530"/>
        <v>0</v>
      </c>
      <c r="U566" s="164">
        <f t="shared" si="530"/>
        <v>0</v>
      </c>
      <c r="V566" s="164">
        <f t="shared" si="530"/>
        <v>0</v>
      </c>
      <c r="W566" s="164">
        <f t="shared" si="530"/>
        <v>0</v>
      </c>
      <c r="X566" s="164">
        <f t="shared" si="530"/>
        <v>0</v>
      </c>
      <c r="Y566" s="164">
        <f>SUMIFS(Y$9:Y$26,$J$9:$J$26,$G563,$K$9:$K$26,$G566)</f>
        <v>0</v>
      </c>
      <c r="Z566" s="164">
        <f t="shared" ref="Z566:AM566" si="531">SUMIFS(Z$9:Z$26,$J$9:$J$26,$G563,$K$9:$K$26,$G566)</f>
        <v>0</v>
      </c>
      <c r="AA566" s="164">
        <f t="shared" si="531"/>
        <v>0</v>
      </c>
      <c r="AB566" s="164">
        <f t="shared" si="531"/>
        <v>0</v>
      </c>
      <c r="AC566" s="164">
        <f t="shared" si="531"/>
        <v>0</v>
      </c>
      <c r="AD566" s="164">
        <f t="shared" si="531"/>
        <v>0</v>
      </c>
      <c r="AE566" s="164">
        <f t="shared" si="531"/>
        <v>0</v>
      </c>
      <c r="AF566" s="164">
        <f t="shared" si="531"/>
        <v>0</v>
      </c>
      <c r="AG566" s="164">
        <f t="shared" si="531"/>
        <v>0</v>
      </c>
      <c r="AH566" s="164">
        <f t="shared" si="531"/>
        <v>0</v>
      </c>
      <c r="AI566" s="164">
        <f t="shared" si="531"/>
        <v>0</v>
      </c>
      <c r="AJ566" s="164">
        <f t="shared" si="531"/>
        <v>0</v>
      </c>
      <c r="AK566" s="164">
        <f t="shared" si="531"/>
        <v>0</v>
      </c>
      <c r="AL566" s="164">
        <f t="shared" si="531"/>
        <v>0</v>
      </c>
      <c r="AM566" s="164">
        <f t="shared" si="531"/>
        <v>0</v>
      </c>
    </row>
    <row r="567" spans="1:39">
      <c r="A567" s="100"/>
      <c r="B567" s="100"/>
      <c r="C567" s="100"/>
      <c r="D567" s="179" t="str">
        <f t="shared" si="526"/>
        <v>Terminal facilities</v>
      </c>
      <c r="E567" s="165" t="str">
        <f>H498</f>
        <v>Airfield</v>
      </c>
      <c r="F567" s="165"/>
      <c r="G567" s="165" t="s">
        <v>78</v>
      </c>
      <c r="H567" s="121"/>
      <c r="I567" s="165"/>
      <c r="J567" s="165"/>
      <c r="K567" s="197"/>
      <c r="L567" s="197"/>
      <c r="M567" s="477"/>
      <c r="N567" s="164">
        <f>N182+SUMIFS(N$9:N$26,$J$9:$J$26,$G563,$K$9:$K$26,$G567)</f>
        <v>0</v>
      </c>
      <c r="O567" s="164">
        <f t="shared" ref="O567:X567" si="532">O182+SUMIFS(O$9:O$26,$J$9:$J$26,$G563,$K$9:$K$26,$G567)</f>
        <v>0</v>
      </c>
      <c r="P567" s="164">
        <f t="shared" si="532"/>
        <v>0</v>
      </c>
      <c r="Q567" s="164">
        <f t="shared" si="532"/>
        <v>0</v>
      </c>
      <c r="R567" s="164">
        <f t="shared" si="532"/>
        <v>0</v>
      </c>
      <c r="S567" s="164">
        <f t="shared" si="532"/>
        <v>0</v>
      </c>
      <c r="T567" s="164">
        <f t="shared" si="532"/>
        <v>0</v>
      </c>
      <c r="U567" s="164">
        <f t="shared" si="532"/>
        <v>0</v>
      </c>
      <c r="V567" s="164">
        <f t="shared" si="532"/>
        <v>0</v>
      </c>
      <c r="W567" s="164">
        <f t="shared" si="532"/>
        <v>0</v>
      </c>
      <c r="X567" s="164">
        <f t="shared" si="532"/>
        <v>0</v>
      </c>
      <c r="Y567" s="164">
        <f>Y182+SUMIFS(Y$9:Y$26,$J$9:$J$26,$G563,$K$9:$K$26,$G567)</f>
        <v>0</v>
      </c>
      <c r="Z567" s="164">
        <f t="shared" ref="Z567:AM567" si="533">Z182+SUMIFS(Z$9:Z$26,$J$9:$J$26,$G563,$K$9:$K$26,$G567)</f>
        <v>0</v>
      </c>
      <c r="AA567" s="164">
        <f t="shared" si="533"/>
        <v>0</v>
      </c>
      <c r="AB567" s="164">
        <f t="shared" si="533"/>
        <v>0</v>
      </c>
      <c r="AC567" s="164">
        <f t="shared" si="533"/>
        <v>0</v>
      </c>
      <c r="AD567" s="164">
        <f t="shared" si="533"/>
        <v>0</v>
      </c>
      <c r="AE567" s="164">
        <f t="shared" si="533"/>
        <v>0</v>
      </c>
      <c r="AF567" s="164">
        <f t="shared" si="533"/>
        <v>0</v>
      </c>
      <c r="AG567" s="164">
        <f t="shared" si="533"/>
        <v>0</v>
      </c>
      <c r="AH567" s="164">
        <f t="shared" si="533"/>
        <v>0</v>
      </c>
      <c r="AI567" s="164">
        <f t="shared" si="533"/>
        <v>0</v>
      </c>
      <c r="AJ567" s="164">
        <f t="shared" si="533"/>
        <v>0</v>
      </c>
      <c r="AK567" s="164">
        <f t="shared" si="533"/>
        <v>0</v>
      </c>
      <c r="AL567" s="164">
        <f t="shared" si="533"/>
        <v>0</v>
      </c>
      <c r="AM567" s="164">
        <f t="shared" si="533"/>
        <v>0</v>
      </c>
    </row>
    <row r="568" spans="1:39">
      <c r="A568" s="100"/>
      <c r="B568" s="100"/>
      <c r="C568" s="100"/>
      <c r="D568" s="179" t="str">
        <f t="shared" si="526"/>
        <v>Terminal facilities</v>
      </c>
      <c r="E568" s="165" t="str">
        <f>H498</f>
        <v>Airfield</v>
      </c>
      <c r="F568" s="165"/>
      <c r="G568" s="165" t="s">
        <v>88</v>
      </c>
      <c r="H568" s="121"/>
      <c r="I568" s="165"/>
      <c r="J568" s="165"/>
      <c r="K568" s="197"/>
      <c r="L568" s="197"/>
      <c r="M568" s="477"/>
      <c r="N568" s="230">
        <v>0</v>
      </c>
      <c r="O568" s="229">
        <v>0</v>
      </c>
      <c r="P568" s="229">
        <v>0</v>
      </c>
      <c r="Q568" s="229">
        <v>0</v>
      </c>
      <c r="R568" s="229">
        <v>0</v>
      </c>
      <c r="S568" s="229">
        <v>0</v>
      </c>
      <c r="T568" s="229">
        <v>0</v>
      </c>
      <c r="U568" s="229">
        <v>0</v>
      </c>
      <c r="V568" s="229">
        <v>0</v>
      </c>
      <c r="W568" s="229">
        <v>0</v>
      </c>
      <c r="X568" s="229">
        <v>0</v>
      </c>
      <c r="Y568" s="229">
        <v>0</v>
      </c>
      <c r="Z568" s="229">
        <v>0</v>
      </c>
      <c r="AA568" s="229">
        <v>0</v>
      </c>
      <c r="AB568" s="229">
        <v>0</v>
      </c>
      <c r="AC568" s="229">
        <v>0</v>
      </c>
      <c r="AD568" s="229">
        <v>0</v>
      </c>
      <c r="AE568" s="229">
        <v>0</v>
      </c>
      <c r="AF568" s="229">
        <v>0</v>
      </c>
      <c r="AG568" s="229">
        <v>0</v>
      </c>
      <c r="AH568" s="229">
        <v>0</v>
      </c>
      <c r="AI568" s="229">
        <v>0</v>
      </c>
      <c r="AJ568" s="229">
        <v>0</v>
      </c>
      <c r="AK568" s="229">
        <v>0</v>
      </c>
      <c r="AL568" s="229">
        <v>0</v>
      </c>
      <c r="AM568" s="229">
        <v>0</v>
      </c>
    </row>
    <row r="569" spans="1:39">
      <c r="A569" s="100"/>
      <c r="B569" s="100"/>
      <c r="C569" s="100"/>
      <c r="D569" s="179" t="str">
        <f t="shared" si="526"/>
        <v>Terminal facilities</v>
      </c>
      <c r="E569" s="165" t="str">
        <f>H498</f>
        <v>Airfield</v>
      </c>
      <c r="F569" s="165"/>
      <c r="G569" s="165" t="s">
        <v>87</v>
      </c>
      <c r="H569" s="121"/>
      <c r="I569" s="165"/>
      <c r="J569" s="165"/>
      <c r="K569" s="197"/>
      <c r="L569" s="197"/>
      <c r="M569" s="477"/>
      <c r="N569" s="164">
        <f t="shared" ref="N569:X569" si="534">IF(M565&gt;0,M567/AVERAGE(M565,M570)*N568,0)</f>
        <v>0</v>
      </c>
      <c r="O569" s="164">
        <f t="shared" si="534"/>
        <v>0</v>
      </c>
      <c r="P569" s="164">
        <f t="shared" si="534"/>
        <v>0</v>
      </c>
      <c r="Q569" s="164">
        <f t="shared" si="534"/>
        <v>0</v>
      </c>
      <c r="R569" s="164">
        <f t="shared" si="534"/>
        <v>0</v>
      </c>
      <c r="S569" s="164">
        <f t="shared" si="534"/>
        <v>0</v>
      </c>
      <c r="T569" s="164">
        <f t="shared" si="534"/>
        <v>0</v>
      </c>
      <c r="U569" s="164">
        <f t="shared" si="534"/>
        <v>0</v>
      </c>
      <c r="V569" s="164">
        <f t="shared" si="534"/>
        <v>0</v>
      </c>
      <c r="W569" s="164">
        <f t="shared" si="534"/>
        <v>0</v>
      </c>
      <c r="X569" s="164">
        <f t="shared" si="534"/>
        <v>0</v>
      </c>
      <c r="Y569" s="164">
        <f t="shared" ref="Y569:AM569" si="535">IF(X565&gt;0,X567/AVERAGE(X565,X570)*Y568,0)</f>
        <v>0</v>
      </c>
      <c r="Z569" s="164">
        <f t="shared" si="535"/>
        <v>0</v>
      </c>
      <c r="AA569" s="164">
        <f t="shared" si="535"/>
        <v>0</v>
      </c>
      <c r="AB569" s="164">
        <f t="shared" si="535"/>
        <v>0</v>
      </c>
      <c r="AC569" s="164">
        <f t="shared" si="535"/>
        <v>0</v>
      </c>
      <c r="AD569" s="164">
        <f t="shared" si="535"/>
        <v>0</v>
      </c>
      <c r="AE569" s="164">
        <f t="shared" si="535"/>
        <v>0</v>
      </c>
      <c r="AF569" s="164">
        <f t="shared" si="535"/>
        <v>0</v>
      </c>
      <c r="AG569" s="164">
        <f t="shared" si="535"/>
        <v>0</v>
      </c>
      <c r="AH569" s="164">
        <f t="shared" si="535"/>
        <v>0</v>
      </c>
      <c r="AI569" s="164">
        <f t="shared" si="535"/>
        <v>0</v>
      </c>
      <c r="AJ569" s="164">
        <f t="shared" si="535"/>
        <v>0</v>
      </c>
      <c r="AK569" s="164">
        <f t="shared" si="535"/>
        <v>0</v>
      </c>
      <c r="AL569" s="164">
        <f t="shared" si="535"/>
        <v>0</v>
      </c>
      <c r="AM569" s="164">
        <f t="shared" si="535"/>
        <v>0</v>
      </c>
    </row>
    <row r="570" spans="1:39">
      <c r="A570" s="100"/>
      <c r="B570" s="100"/>
      <c r="C570" s="100"/>
      <c r="D570" s="179" t="str">
        <f t="shared" si="526"/>
        <v>Terminal facilities</v>
      </c>
      <c r="E570" s="165" t="str">
        <f>H498</f>
        <v>Airfield</v>
      </c>
      <c r="F570" s="165"/>
      <c r="G570" s="200" t="s">
        <v>76</v>
      </c>
      <c r="H570" s="201"/>
      <c r="I570" s="200"/>
      <c r="J570" s="200"/>
      <c r="K570" s="199">
        <f>K184</f>
        <v>0</v>
      </c>
      <c r="L570" s="199">
        <f>L184</f>
        <v>0</v>
      </c>
      <c r="M570" s="527">
        <f>M184</f>
        <v>0</v>
      </c>
      <c r="N570" s="527">
        <f>N184</f>
        <v>0</v>
      </c>
      <c r="O570" s="198">
        <f t="shared" ref="O570:AM570" si="536">SUM(O565:O566,O568)-SUM(O567,O569)</f>
        <v>0</v>
      </c>
      <c r="P570" s="198">
        <f t="shared" si="536"/>
        <v>0</v>
      </c>
      <c r="Q570" s="198">
        <f t="shared" si="536"/>
        <v>0</v>
      </c>
      <c r="R570" s="198">
        <f t="shared" si="536"/>
        <v>0</v>
      </c>
      <c r="S570" s="198">
        <f t="shared" si="536"/>
        <v>0</v>
      </c>
      <c r="T570" s="198">
        <f t="shared" si="536"/>
        <v>0</v>
      </c>
      <c r="U570" s="198">
        <f t="shared" si="536"/>
        <v>0</v>
      </c>
      <c r="V570" s="198">
        <f t="shared" si="536"/>
        <v>0</v>
      </c>
      <c r="W570" s="198">
        <f t="shared" si="536"/>
        <v>0</v>
      </c>
      <c r="X570" s="198">
        <f t="shared" si="536"/>
        <v>0</v>
      </c>
      <c r="Y570" s="198">
        <f t="shared" si="536"/>
        <v>0</v>
      </c>
      <c r="Z570" s="198">
        <f t="shared" si="536"/>
        <v>0</v>
      </c>
      <c r="AA570" s="198">
        <f t="shared" si="536"/>
        <v>0</v>
      </c>
      <c r="AB570" s="198">
        <f t="shared" si="536"/>
        <v>0</v>
      </c>
      <c r="AC570" s="198">
        <f t="shared" si="536"/>
        <v>0</v>
      </c>
      <c r="AD570" s="198">
        <f t="shared" si="536"/>
        <v>0</v>
      </c>
      <c r="AE570" s="198">
        <f t="shared" si="536"/>
        <v>0</v>
      </c>
      <c r="AF570" s="198">
        <f t="shared" si="536"/>
        <v>0</v>
      </c>
      <c r="AG570" s="198">
        <f t="shared" si="536"/>
        <v>0</v>
      </c>
      <c r="AH570" s="198">
        <f t="shared" si="536"/>
        <v>0</v>
      </c>
      <c r="AI570" s="198">
        <f t="shared" si="536"/>
        <v>0</v>
      </c>
      <c r="AJ570" s="198">
        <f t="shared" si="536"/>
        <v>0</v>
      </c>
      <c r="AK570" s="198">
        <f t="shared" si="536"/>
        <v>0</v>
      </c>
      <c r="AL570" s="198">
        <f t="shared" si="536"/>
        <v>0</v>
      </c>
      <c r="AM570" s="198">
        <f t="shared" si="536"/>
        <v>0</v>
      </c>
    </row>
    <row r="571" spans="1:39">
      <c r="A571" s="100"/>
      <c r="B571" s="100"/>
      <c r="C571" s="100"/>
      <c r="D571" s="179"/>
      <c r="E571" s="165"/>
      <c r="F571" s="165"/>
      <c r="G571" s="165"/>
      <c r="H571" s="121"/>
      <c r="I571" s="165"/>
      <c r="J571" s="165"/>
      <c r="K571" s="197"/>
      <c r="L571" s="197"/>
      <c r="M571" s="477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</row>
    <row r="572" spans="1:39">
      <c r="A572" s="100"/>
      <c r="B572" s="100"/>
      <c r="C572" s="100"/>
      <c r="D572" s="179"/>
      <c r="E572" s="165"/>
      <c r="F572" s="165"/>
      <c r="G572" s="206" t="s">
        <v>30</v>
      </c>
      <c r="H572" s="121"/>
      <c r="I572" s="165"/>
      <c r="J572" s="165"/>
      <c r="K572" s="204"/>
      <c r="L572" s="197"/>
      <c r="M572" s="477"/>
      <c r="N572" s="164"/>
      <c r="O572" s="164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</row>
    <row r="573" spans="1:39">
      <c r="A573" s="100"/>
      <c r="B573" s="100"/>
      <c r="C573" s="100"/>
      <c r="D573" s="179"/>
      <c r="E573" s="165"/>
      <c r="F573" s="165"/>
      <c r="G573" s="205"/>
      <c r="H573" s="121"/>
      <c r="I573" s="165"/>
      <c r="J573" s="165"/>
      <c r="K573" s="204"/>
      <c r="L573" s="197"/>
      <c r="M573" s="477"/>
      <c r="N573" s="164"/>
      <c r="O573" s="164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  <c r="AA573" s="165"/>
      <c r="AB573" s="165"/>
      <c r="AC573" s="165"/>
      <c r="AD573" s="165"/>
      <c r="AE573" s="165"/>
      <c r="AF573" s="165"/>
      <c r="AG573" s="165"/>
      <c r="AH573" s="165"/>
      <c r="AI573" s="165"/>
      <c r="AJ573" s="165"/>
      <c r="AK573" s="165"/>
      <c r="AL573" s="165"/>
      <c r="AM573" s="165"/>
    </row>
    <row r="574" spans="1:39">
      <c r="A574" s="100"/>
      <c r="B574" s="100"/>
      <c r="C574" s="100"/>
      <c r="D574" s="179" t="str">
        <f t="shared" ref="D574:D579" si="537">$G$572</f>
        <v>Car parking</v>
      </c>
      <c r="E574" s="165" t="str">
        <f>H498</f>
        <v>Airfield</v>
      </c>
      <c r="F574" s="165"/>
      <c r="G574" s="165" t="s">
        <v>80</v>
      </c>
      <c r="H574" s="121"/>
      <c r="I574" s="165"/>
      <c r="J574" s="165"/>
      <c r="K574" s="530">
        <f>K579</f>
        <v>0</v>
      </c>
      <c r="L574" s="530">
        <f>L579</f>
        <v>0</v>
      </c>
      <c r="M574" s="531">
        <f>M579</f>
        <v>0</v>
      </c>
      <c r="N574" s="164">
        <f t="shared" ref="N574:S574" si="538">M579</f>
        <v>0</v>
      </c>
      <c r="O574" s="164">
        <f t="shared" si="538"/>
        <v>0</v>
      </c>
      <c r="P574" s="164">
        <f t="shared" si="538"/>
        <v>0</v>
      </c>
      <c r="Q574" s="164">
        <f t="shared" si="538"/>
        <v>0</v>
      </c>
      <c r="R574" s="164">
        <f t="shared" si="538"/>
        <v>0</v>
      </c>
      <c r="S574" s="164">
        <f t="shared" si="538"/>
        <v>0</v>
      </c>
      <c r="T574" s="164">
        <f t="shared" ref="T574:Y574" si="539">S579</f>
        <v>0</v>
      </c>
      <c r="U574" s="164">
        <f t="shared" si="539"/>
        <v>0</v>
      </c>
      <c r="V574" s="164">
        <f t="shared" si="539"/>
        <v>0</v>
      </c>
      <c r="W574" s="164">
        <f t="shared" si="539"/>
        <v>0</v>
      </c>
      <c r="X574" s="164">
        <f t="shared" si="539"/>
        <v>0</v>
      </c>
      <c r="Y574" s="164">
        <f t="shared" si="539"/>
        <v>0</v>
      </c>
      <c r="Z574" s="164">
        <f t="shared" ref="Z574:AM574" si="540">Y579</f>
        <v>0</v>
      </c>
      <c r="AA574" s="164">
        <f t="shared" si="540"/>
        <v>0</v>
      </c>
      <c r="AB574" s="164">
        <f t="shared" si="540"/>
        <v>0</v>
      </c>
      <c r="AC574" s="164">
        <f t="shared" si="540"/>
        <v>0</v>
      </c>
      <c r="AD574" s="164">
        <f t="shared" si="540"/>
        <v>0</v>
      </c>
      <c r="AE574" s="164">
        <f t="shared" si="540"/>
        <v>0</v>
      </c>
      <c r="AF574" s="164">
        <f t="shared" si="540"/>
        <v>0</v>
      </c>
      <c r="AG574" s="164">
        <f t="shared" si="540"/>
        <v>0</v>
      </c>
      <c r="AH574" s="164">
        <f t="shared" si="540"/>
        <v>0</v>
      </c>
      <c r="AI574" s="164">
        <f t="shared" si="540"/>
        <v>0</v>
      </c>
      <c r="AJ574" s="164">
        <f t="shared" si="540"/>
        <v>0</v>
      </c>
      <c r="AK574" s="164">
        <f t="shared" si="540"/>
        <v>0</v>
      </c>
      <c r="AL574" s="164">
        <f t="shared" si="540"/>
        <v>0</v>
      </c>
      <c r="AM574" s="164">
        <f t="shared" si="540"/>
        <v>0</v>
      </c>
    </row>
    <row r="575" spans="1:39">
      <c r="A575" s="100"/>
      <c r="B575" s="100"/>
      <c r="C575" s="100"/>
      <c r="D575" s="179" t="str">
        <f t="shared" si="537"/>
        <v>Car parking</v>
      </c>
      <c r="E575" s="165" t="str">
        <f>H498</f>
        <v>Airfield</v>
      </c>
      <c r="F575" s="165"/>
      <c r="G575" s="165" t="s">
        <v>83</v>
      </c>
      <c r="H575" s="121"/>
      <c r="I575" s="165"/>
      <c r="J575" s="165"/>
      <c r="K575" s="532"/>
      <c r="L575" s="532"/>
      <c r="M575" s="533"/>
      <c r="N575" s="164">
        <f t="shared" ref="N575:X575" si="541">SUMIFS(N$9:N$26,$J$9:$J$26,$G572,$K$9:$K$26,$G575)</f>
        <v>0</v>
      </c>
      <c r="O575" s="164">
        <f t="shared" si="541"/>
        <v>0</v>
      </c>
      <c r="P575" s="164">
        <f t="shared" si="541"/>
        <v>0</v>
      </c>
      <c r="Q575" s="164">
        <f t="shared" si="541"/>
        <v>0</v>
      </c>
      <c r="R575" s="164">
        <f t="shared" si="541"/>
        <v>0</v>
      </c>
      <c r="S575" s="164">
        <f t="shared" si="541"/>
        <v>0</v>
      </c>
      <c r="T575" s="164">
        <f t="shared" si="541"/>
        <v>0</v>
      </c>
      <c r="U575" s="164">
        <f t="shared" si="541"/>
        <v>0</v>
      </c>
      <c r="V575" s="164">
        <f t="shared" si="541"/>
        <v>0</v>
      </c>
      <c r="W575" s="164">
        <f t="shared" si="541"/>
        <v>0</v>
      </c>
      <c r="X575" s="164">
        <f t="shared" si="541"/>
        <v>0</v>
      </c>
      <c r="Y575" s="164">
        <f>SUMIFS(Y$9:Y$26,$J$9:$J$26,$G572,$K$9:$K$26,$G575)</f>
        <v>0</v>
      </c>
      <c r="Z575" s="164">
        <f t="shared" ref="Z575:AM575" si="542">SUMIFS(Z$9:Z$26,$J$9:$J$26,$G572,$K$9:$K$26,$G575)</f>
        <v>0</v>
      </c>
      <c r="AA575" s="164">
        <f t="shared" si="542"/>
        <v>0</v>
      </c>
      <c r="AB575" s="164">
        <f t="shared" si="542"/>
        <v>0</v>
      </c>
      <c r="AC575" s="164">
        <f t="shared" si="542"/>
        <v>0</v>
      </c>
      <c r="AD575" s="164">
        <f t="shared" si="542"/>
        <v>0</v>
      </c>
      <c r="AE575" s="164">
        <f t="shared" si="542"/>
        <v>0</v>
      </c>
      <c r="AF575" s="164">
        <f t="shared" si="542"/>
        <v>0</v>
      </c>
      <c r="AG575" s="164">
        <f t="shared" si="542"/>
        <v>0</v>
      </c>
      <c r="AH575" s="164">
        <f t="shared" si="542"/>
        <v>0</v>
      </c>
      <c r="AI575" s="164">
        <f t="shared" si="542"/>
        <v>0</v>
      </c>
      <c r="AJ575" s="164">
        <f t="shared" si="542"/>
        <v>0</v>
      </c>
      <c r="AK575" s="164">
        <f t="shared" si="542"/>
        <v>0</v>
      </c>
      <c r="AL575" s="164">
        <f t="shared" si="542"/>
        <v>0</v>
      </c>
      <c r="AM575" s="164">
        <f t="shared" si="542"/>
        <v>0</v>
      </c>
    </row>
    <row r="576" spans="1:39">
      <c r="A576" s="100"/>
      <c r="B576" s="100"/>
      <c r="C576" s="100"/>
      <c r="D576" s="179" t="str">
        <f t="shared" si="537"/>
        <v>Car parking</v>
      </c>
      <c r="E576" s="165" t="str">
        <f>H498</f>
        <v>Airfield</v>
      </c>
      <c r="F576" s="165"/>
      <c r="G576" s="165" t="s">
        <v>78</v>
      </c>
      <c r="H576" s="121"/>
      <c r="I576" s="165"/>
      <c r="J576" s="165"/>
      <c r="K576" s="197"/>
      <c r="L576" s="197"/>
      <c r="M576" s="477"/>
      <c r="N576" s="164">
        <f>N191+SUMIFS(N$9:N$26,$J$9:$J$26,$G572,$K$9:$K$26,$G576)</f>
        <v>0</v>
      </c>
      <c r="O576" s="164">
        <f t="shared" ref="O576:X576" si="543">O191+SUMIFS(O$9:O$26,$J$9:$J$26,$G572,$K$9:$K$26,$G576)</f>
        <v>0</v>
      </c>
      <c r="P576" s="164">
        <f t="shared" si="543"/>
        <v>0</v>
      </c>
      <c r="Q576" s="164">
        <f t="shared" si="543"/>
        <v>0</v>
      </c>
      <c r="R576" s="164">
        <f t="shared" si="543"/>
        <v>0</v>
      </c>
      <c r="S576" s="164">
        <f t="shared" si="543"/>
        <v>0</v>
      </c>
      <c r="T576" s="164">
        <f t="shared" si="543"/>
        <v>0</v>
      </c>
      <c r="U576" s="164">
        <f t="shared" si="543"/>
        <v>0</v>
      </c>
      <c r="V576" s="164">
        <f t="shared" si="543"/>
        <v>0</v>
      </c>
      <c r="W576" s="164">
        <f t="shared" si="543"/>
        <v>0</v>
      </c>
      <c r="X576" s="164">
        <f t="shared" si="543"/>
        <v>0</v>
      </c>
      <c r="Y576" s="164">
        <f>Y191+SUMIFS(Y$9:Y$26,$J$9:$J$26,$G572,$K$9:$K$26,$G576)</f>
        <v>0</v>
      </c>
      <c r="Z576" s="164">
        <f t="shared" ref="Z576:AM576" si="544">Z191+SUMIFS(Z$9:Z$26,$J$9:$J$26,$G572,$K$9:$K$26,$G576)</f>
        <v>0</v>
      </c>
      <c r="AA576" s="164">
        <f t="shared" si="544"/>
        <v>0</v>
      </c>
      <c r="AB576" s="164">
        <f t="shared" si="544"/>
        <v>0</v>
      </c>
      <c r="AC576" s="164">
        <f t="shared" si="544"/>
        <v>0</v>
      </c>
      <c r="AD576" s="164">
        <f t="shared" si="544"/>
        <v>0</v>
      </c>
      <c r="AE576" s="164">
        <f t="shared" si="544"/>
        <v>0</v>
      </c>
      <c r="AF576" s="164">
        <f t="shared" si="544"/>
        <v>0</v>
      </c>
      <c r="AG576" s="164">
        <f t="shared" si="544"/>
        <v>0</v>
      </c>
      <c r="AH576" s="164">
        <f t="shared" si="544"/>
        <v>0</v>
      </c>
      <c r="AI576" s="164">
        <f t="shared" si="544"/>
        <v>0</v>
      </c>
      <c r="AJ576" s="164">
        <f t="shared" si="544"/>
        <v>0</v>
      </c>
      <c r="AK576" s="164">
        <f t="shared" si="544"/>
        <v>0</v>
      </c>
      <c r="AL576" s="164">
        <f t="shared" si="544"/>
        <v>0</v>
      </c>
      <c r="AM576" s="164">
        <f t="shared" si="544"/>
        <v>0</v>
      </c>
    </row>
    <row r="577" spans="1:39">
      <c r="A577" s="100"/>
      <c r="B577" s="100"/>
      <c r="C577" s="100"/>
      <c r="D577" s="179" t="str">
        <f t="shared" si="537"/>
        <v>Car parking</v>
      </c>
      <c r="E577" s="165" t="str">
        <f>H498</f>
        <v>Airfield</v>
      </c>
      <c r="F577" s="165"/>
      <c r="G577" s="165" t="s">
        <v>88</v>
      </c>
      <c r="H577" s="121"/>
      <c r="I577" s="165"/>
      <c r="J577" s="165"/>
      <c r="K577" s="197"/>
      <c r="L577" s="197"/>
      <c r="M577" s="477"/>
      <c r="N577" s="230">
        <v>0</v>
      </c>
      <c r="O577" s="229">
        <v>0</v>
      </c>
      <c r="P577" s="229">
        <v>0</v>
      </c>
      <c r="Q577" s="229">
        <v>0</v>
      </c>
      <c r="R577" s="229">
        <v>0</v>
      </c>
      <c r="S577" s="229">
        <v>0</v>
      </c>
      <c r="T577" s="229">
        <v>0</v>
      </c>
      <c r="U577" s="229">
        <v>0</v>
      </c>
      <c r="V577" s="229">
        <v>0</v>
      </c>
      <c r="W577" s="229">
        <v>0</v>
      </c>
      <c r="X577" s="229">
        <v>0</v>
      </c>
      <c r="Y577" s="229">
        <v>0</v>
      </c>
      <c r="Z577" s="229">
        <v>0</v>
      </c>
      <c r="AA577" s="229">
        <v>0</v>
      </c>
      <c r="AB577" s="229">
        <v>0</v>
      </c>
      <c r="AC577" s="229">
        <v>0</v>
      </c>
      <c r="AD577" s="229">
        <v>0</v>
      </c>
      <c r="AE577" s="229">
        <v>0</v>
      </c>
      <c r="AF577" s="229">
        <v>0</v>
      </c>
      <c r="AG577" s="229">
        <v>0</v>
      </c>
      <c r="AH577" s="229">
        <v>0</v>
      </c>
      <c r="AI577" s="229">
        <v>0</v>
      </c>
      <c r="AJ577" s="229">
        <v>0</v>
      </c>
      <c r="AK577" s="229">
        <v>0</v>
      </c>
      <c r="AL577" s="229">
        <v>0</v>
      </c>
      <c r="AM577" s="229">
        <v>0</v>
      </c>
    </row>
    <row r="578" spans="1:39">
      <c r="A578" s="100"/>
      <c r="B578" s="100"/>
      <c r="C578" s="100"/>
      <c r="D578" s="179" t="str">
        <f t="shared" si="537"/>
        <v>Car parking</v>
      </c>
      <c r="E578" s="165" t="str">
        <f>H498</f>
        <v>Airfield</v>
      </c>
      <c r="F578" s="165"/>
      <c r="G578" s="165" t="s">
        <v>87</v>
      </c>
      <c r="H578" s="121"/>
      <c r="I578" s="165"/>
      <c r="J578" s="165"/>
      <c r="K578" s="197"/>
      <c r="L578" s="197"/>
      <c r="M578" s="477"/>
      <c r="N578" s="164">
        <f t="shared" ref="N578:X578" si="545">IF(M574&gt;0,M576/AVERAGE(M574,M579)*N577,0)</f>
        <v>0</v>
      </c>
      <c r="O578" s="164">
        <f t="shared" si="545"/>
        <v>0</v>
      </c>
      <c r="P578" s="164">
        <f t="shared" si="545"/>
        <v>0</v>
      </c>
      <c r="Q578" s="164">
        <f t="shared" si="545"/>
        <v>0</v>
      </c>
      <c r="R578" s="164">
        <f t="shared" si="545"/>
        <v>0</v>
      </c>
      <c r="S578" s="164">
        <f t="shared" si="545"/>
        <v>0</v>
      </c>
      <c r="T578" s="164">
        <f t="shared" si="545"/>
        <v>0</v>
      </c>
      <c r="U578" s="164">
        <f t="shared" si="545"/>
        <v>0</v>
      </c>
      <c r="V578" s="164">
        <f t="shared" si="545"/>
        <v>0</v>
      </c>
      <c r="W578" s="164">
        <f t="shared" si="545"/>
        <v>0</v>
      </c>
      <c r="X578" s="164">
        <f t="shared" si="545"/>
        <v>0</v>
      </c>
      <c r="Y578" s="164">
        <f t="shared" ref="Y578:AM578" si="546">IF(X574&gt;0,X576/AVERAGE(X574,X579)*Y577,0)</f>
        <v>0</v>
      </c>
      <c r="Z578" s="164">
        <f t="shared" si="546"/>
        <v>0</v>
      </c>
      <c r="AA578" s="164">
        <f t="shared" si="546"/>
        <v>0</v>
      </c>
      <c r="AB578" s="164">
        <f t="shared" si="546"/>
        <v>0</v>
      </c>
      <c r="AC578" s="164">
        <f t="shared" si="546"/>
        <v>0</v>
      </c>
      <c r="AD578" s="164">
        <f t="shared" si="546"/>
        <v>0</v>
      </c>
      <c r="AE578" s="164">
        <f t="shared" si="546"/>
        <v>0</v>
      </c>
      <c r="AF578" s="164">
        <f t="shared" si="546"/>
        <v>0</v>
      </c>
      <c r="AG578" s="164">
        <f t="shared" si="546"/>
        <v>0</v>
      </c>
      <c r="AH578" s="164">
        <f t="shared" si="546"/>
        <v>0</v>
      </c>
      <c r="AI578" s="164">
        <f t="shared" si="546"/>
        <v>0</v>
      </c>
      <c r="AJ578" s="164">
        <f t="shared" si="546"/>
        <v>0</v>
      </c>
      <c r="AK578" s="164">
        <f t="shared" si="546"/>
        <v>0</v>
      </c>
      <c r="AL578" s="164">
        <f t="shared" si="546"/>
        <v>0</v>
      </c>
      <c r="AM578" s="164">
        <f t="shared" si="546"/>
        <v>0</v>
      </c>
    </row>
    <row r="579" spans="1:39">
      <c r="A579" s="100"/>
      <c r="B579" s="100"/>
      <c r="C579" s="100"/>
      <c r="D579" s="179" t="str">
        <f t="shared" si="537"/>
        <v>Car parking</v>
      </c>
      <c r="E579" s="165" t="str">
        <f>H498</f>
        <v>Airfield</v>
      </c>
      <c r="F579" s="165"/>
      <c r="G579" s="200" t="s">
        <v>76</v>
      </c>
      <c r="H579" s="201"/>
      <c r="I579" s="200"/>
      <c r="J579" s="200"/>
      <c r="K579" s="199">
        <f>K193</f>
        <v>0</v>
      </c>
      <c r="L579" s="199">
        <f>L193</f>
        <v>0</v>
      </c>
      <c r="M579" s="527">
        <f>M193</f>
        <v>0</v>
      </c>
      <c r="N579" s="527">
        <f>N193</f>
        <v>0</v>
      </c>
      <c r="O579" s="198">
        <f t="shared" ref="O579:AM579" si="547">SUM(O574:O575,O577)-SUM(O576,O578)</f>
        <v>0</v>
      </c>
      <c r="P579" s="198">
        <f t="shared" si="547"/>
        <v>0</v>
      </c>
      <c r="Q579" s="198">
        <f t="shared" si="547"/>
        <v>0</v>
      </c>
      <c r="R579" s="198">
        <f t="shared" si="547"/>
        <v>0</v>
      </c>
      <c r="S579" s="198">
        <f t="shared" si="547"/>
        <v>0</v>
      </c>
      <c r="T579" s="198">
        <f t="shared" si="547"/>
        <v>0</v>
      </c>
      <c r="U579" s="198">
        <f t="shared" si="547"/>
        <v>0</v>
      </c>
      <c r="V579" s="198">
        <f t="shared" si="547"/>
        <v>0</v>
      </c>
      <c r="W579" s="198">
        <f t="shared" si="547"/>
        <v>0</v>
      </c>
      <c r="X579" s="198">
        <f t="shared" si="547"/>
        <v>0</v>
      </c>
      <c r="Y579" s="198">
        <f t="shared" si="547"/>
        <v>0</v>
      </c>
      <c r="Z579" s="198">
        <f t="shared" si="547"/>
        <v>0</v>
      </c>
      <c r="AA579" s="198">
        <f t="shared" si="547"/>
        <v>0</v>
      </c>
      <c r="AB579" s="198">
        <f t="shared" si="547"/>
        <v>0</v>
      </c>
      <c r="AC579" s="198">
        <f t="shared" si="547"/>
        <v>0</v>
      </c>
      <c r="AD579" s="198">
        <f t="shared" si="547"/>
        <v>0</v>
      </c>
      <c r="AE579" s="198">
        <f t="shared" si="547"/>
        <v>0</v>
      </c>
      <c r="AF579" s="198">
        <f t="shared" si="547"/>
        <v>0</v>
      </c>
      <c r="AG579" s="198">
        <f t="shared" si="547"/>
        <v>0</v>
      </c>
      <c r="AH579" s="198">
        <f t="shared" si="547"/>
        <v>0</v>
      </c>
      <c r="AI579" s="198">
        <f t="shared" si="547"/>
        <v>0</v>
      </c>
      <c r="AJ579" s="198">
        <f t="shared" si="547"/>
        <v>0</v>
      </c>
      <c r="AK579" s="198">
        <f t="shared" si="547"/>
        <v>0</v>
      </c>
      <c r="AL579" s="198">
        <f t="shared" si="547"/>
        <v>0</v>
      </c>
      <c r="AM579" s="198">
        <f t="shared" si="547"/>
        <v>0</v>
      </c>
    </row>
    <row r="580" spans="1:39">
      <c r="A580" s="100"/>
      <c r="B580" s="100"/>
      <c r="C580" s="100"/>
      <c r="D580" s="179"/>
      <c r="E580" s="165"/>
      <c r="F580" s="165"/>
      <c r="G580" s="165"/>
      <c r="H580" s="121"/>
      <c r="I580" s="165"/>
      <c r="J580" s="165"/>
      <c r="K580" s="197"/>
      <c r="L580" s="197"/>
      <c r="M580" s="477"/>
      <c r="N580" s="164"/>
      <c r="O580" s="164"/>
      <c r="P580" s="164"/>
      <c r="Q580" s="164"/>
      <c r="R580" s="164"/>
      <c r="S580" s="164"/>
      <c r="T580" s="164"/>
      <c r="U580" s="164"/>
      <c r="V580" s="164"/>
      <c r="W580" s="164"/>
      <c r="X580" s="164"/>
      <c r="Y580" s="164"/>
      <c r="Z580" s="164"/>
      <c r="AA580" s="164"/>
      <c r="AB580" s="164"/>
      <c r="AC580" s="164"/>
      <c r="AD580" s="164"/>
      <c r="AE580" s="164"/>
      <c r="AF580" s="164"/>
      <c r="AG580" s="164"/>
      <c r="AH580" s="164"/>
      <c r="AI580" s="164"/>
      <c r="AJ580" s="164"/>
      <c r="AK580" s="164"/>
      <c r="AL580" s="164"/>
      <c r="AM580" s="164"/>
    </row>
    <row r="581" spans="1:39">
      <c r="A581" s="100"/>
      <c r="B581" s="100"/>
      <c r="C581" s="100"/>
      <c r="D581" s="179"/>
      <c r="E581" s="165"/>
      <c r="F581" s="165"/>
      <c r="G581" s="206" t="s">
        <v>29</v>
      </c>
      <c r="H581" s="121"/>
      <c r="I581" s="165"/>
      <c r="J581" s="165"/>
      <c r="K581" s="204"/>
      <c r="L581" s="197"/>
      <c r="M581" s="477"/>
      <c r="N581" s="164"/>
      <c r="O581" s="164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  <c r="AA581" s="165"/>
      <c r="AB581" s="165"/>
      <c r="AC581" s="165"/>
      <c r="AD581" s="165"/>
      <c r="AE581" s="165"/>
      <c r="AF581" s="165"/>
      <c r="AG581" s="165"/>
      <c r="AH581" s="165"/>
      <c r="AI581" s="165"/>
      <c r="AJ581" s="165"/>
      <c r="AK581" s="165"/>
      <c r="AL581" s="165"/>
      <c r="AM581" s="165"/>
    </row>
    <row r="582" spans="1:39">
      <c r="A582" s="100"/>
      <c r="B582" s="100"/>
      <c r="C582" s="100"/>
      <c r="D582" s="179"/>
      <c r="E582" s="165"/>
      <c r="F582" s="165"/>
      <c r="G582" s="205"/>
      <c r="H582" s="121"/>
      <c r="I582" s="165"/>
      <c r="J582" s="165"/>
      <c r="K582" s="204"/>
      <c r="L582" s="197"/>
      <c r="M582" s="477"/>
      <c r="N582" s="164"/>
      <c r="O582" s="164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  <c r="AA582" s="165"/>
      <c r="AB582" s="165"/>
      <c r="AC582" s="165"/>
      <c r="AD582" s="165"/>
      <c r="AE582" s="165"/>
      <c r="AF582" s="165"/>
      <c r="AG582" s="165"/>
      <c r="AH582" s="165"/>
      <c r="AI582" s="165"/>
      <c r="AJ582" s="165"/>
      <c r="AK582" s="165"/>
      <c r="AL582" s="165"/>
      <c r="AM582" s="165"/>
    </row>
    <row r="583" spans="1:39">
      <c r="A583" s="100"/>
      <c r="B583" s="100"/>
      <c r="C583" s="100"/>
      <c r="D583" s="179" t="str">
        <f t="shared" ref="D583:D588" si="548">$G$581</f>
        <v>Software</v>
      </c>
      <c r="E583" s="165" t="str">
        <f>H498</f>
        <v>Airfield</v>
      </c>
      <c r="F583" s="165"/>
      <c r="G583" s="165" t="s">
        <v>80</v>
      </c>
      <c r="H583" s="121"/>
      <c r="I583" s="165"/>
      <c r="J583" s="165"/>
      <c r="K583" s="530">
        <f>K588</f>
        <v>0</v>
      </c>
      <c r="L583" s="530">
        <f>L588</f>
        <v>0</v>
      </c>
      <c r="M583" s="531"/>
      <c r="N583" s="164">
        <f t="shared" ref="N583:S583" si="549">M588</f>
        <v>0</v>
      </c>
      <c r="O583" s="164">
        <f t="shared" si="549"/>
        <v>132348.09695488837</v>
      </c>
      <c r="P583" s="164">
        <f t="shared" si="549"/>
        <v>110292.5955762974</v>
      </c>
      <c r="Q583" s="164">
        <f t="shared" si="549"/>
        <v>75461.11241355128</v>
      </c>
      <c r="R583" s="164">
        <f t="shared" si="549"/>
        <v>39927.628721596819</v>
      </c>
      <c r="S583" s="164">
        <f t="shared" si="549"/>
        <v>4528.7715552084337</v>
      </c>
      <c r="T583" s="164">
        <f t="shared" ref="T583:Y583" si="550">S588</f>
        <v>3486.4474387785422</v>
      </c>
      <c r="U583" s="164">
        <f t="shared" si="550"/>
        <v>2083.2796225291931</v>
      </c>
      <c r="V583" s="164">
        <f t="shared" si="550"/>
        <v>1305.0962355154415</v>
      </c>
      <c r="W583" s="164">
        <f t="shared" si="550"/>
        <v>878.18808083615102</v>
      </c>
      <c r="X583" s="164">
        <f t="shared" si="550"/>
        <v>702.55046466892054</v>
      </c>
      <c r="Y583" s="164">
        <f t="shared" si="550"/>
        <v>526.91284850168995</v>
      </c>
      <c r="Z583" s="164">
        <f t="shared" ref="Z583:AM583" si="551">Y588</f>
        <v>351.27523233445942</v>
      </c>
      <c r="AA583" s="164">
        <f t="shared" si="551"/>
        <v>175.63761616722888</v>
      </c>
      <c r="AB583" s="164">
        <f t="shared" si="551"/>
        <v>-1.6484591469634324E-12</v>
      </c>
      <c r="AC583" s="164">
        <f t="shared" si="551"/>
        <v>-1.6484591469634324E-12</v>
      </c>
      <c r="AD583" s="164">
        <f t="shared" si="551"/>
        <v>-1.6484591469634324E-12</v>
      </c>
      <c r="AE583" s="164">
        <f t="shared" si="551"/>
        <v>-1.6484591469634324E-12</v>
      </c>
      <c r="AF583" s="164">
        <f t="shared" si="551"/>
        <v>-1.6484591469634324E-12</v>
      </c>
      <c r="AG583" s="164">
        <f t="shared" si="551"/>
        <v>-1.6484591469634324E-12</v>
      </c>
      <c r="AH583" s="164">
        <f t="shared" si="551"/>
        <v>-1.6484591469634324E-12</v>
      </c>
      <c r="AI583" s="164">
        <f t="shared" si="551"/>
        <v>-1.6484591469634324E-12</v>
      </c>
      <c r="AJ583" s="164">
        <f t="shared" si="551"/>
        <v>-1.6484591469634324E-12</v>
      </c>
      <c r="AK583" s="164">
        <f t="shared" si="551"/>
        <v>-1.6484591469634324E-12</v>
      </c>
      <c r="AL583" s="164">
        <f t="shared" si="551"/>
        <v>-1.6484591469634324E-12</v>
      </c>
      <c r="AM583" s="164">
        <f t="shared" si="551"/>
        <v>-1.6484591469634324E-12</v>
      </c>
    </row>
    <row r="584" spans="1:39">
      <c r="A584" s="100"/>
      <c r="B584" s="100"/>
      <c r="C584" s="100"/>
      <c r="D584" s="179" t="str">
        <f t="shared" si="548"/>
        <v>Software</v>
      </c>
      <c r="E584" s="165" t="str">
        <f>H498</f>
        <v>Airfield</v>
      </c>
      <c r="F584" s="165"/>
      <c r="G584" s="165" t="s">
        <v>83</v>
      </c>
      <c r="H584" s="121"/>
      <c r="I584" s="165"/>
      <c r="J584" s="165"/>
      <c r="K584" s="532"/>
      <c r="L584" s="532"/>
      <c r="M584" s="533"/>
      <c r="N584" s="164">
        <f t="shared" ref="N584:X584" si="552">SUMIFS(N$9:N$26,$J$9:$J$26,$G581,$K$9:$K$26,$G584)</f>
        <v>0</v>
      </c>
      <c r="O584" s="164">
        <f t="shared" si="552"/>
        <v>14708.697146841492</v>
      </c>
      <c r="P584" s="164">
        <f t="shared" si="552"/>
        <v>2576.9538169151324</v>
      </c>
      <c r="Q584" s="164">
        <f t="shared" si="552"/>
        <v>2499.9377169423883</v>
      </c>
      <c r="R584" s="164">
        <f t="shared" si="552"/>
        <v>3161.4770910101497</v>
      </c>
      <c r="S584" s="164">
        <f t="shared" si="552"/>
        <v>1005.08215404824</v>
      </c>
      <c r="T584" s="164">
        <f t="shared" si="552"/>
        <v>0</v>
      </c>
      <c r="U584" s="164">
        <f t="shared" si="552"/>
        <v>0</v>
      </c>
      <c r="V584" s="164">
        <f t="shared" si="552"/>
        <v>0</v>
      </c>
      <c r="W584" s="164">
        <f t="shared" si="552"/>
        <v>0</v>
      </c>
      <c r="X584" s="164">
        <f t="shared" si="552"/>
        <v>0</v>
      </c>
      <c r="Y584" s="164">
        <f>SUMIFS(Y$9:Y$26,$J$9:$J$26,$G581,$K$9:$K$26,$G584)</f>
        <v>0</v>
      </c>
      <c r="Z584" s="164">
        <f t="shared" ref="Z584:AM584" si="553">SUMIFS(Z$9:Z$26,$J$9:$J$26,$G581,$K$9:$K$26,$G584)</f>
        <v>0</v>
      </c>
      <c r="AA584" s="164">
        <f t="shared" si="553"/>
        <v>0</v>
      </c>
      <c r="AB584" s="164">
        <f t="shared" si="553"/>
        <v>0</v>
      </c>
      <c r="AC584" s="164">
        <f t="shared" si="553"/>
        <v>0</v>
      </c>
      <c r="AD584" s="164">
        <f t="shared" si="553"/>
        <v>0</v>
      </c>
      <c r="AE584" s="164">
        <f t="shared" si="553"/>
        <v>0</v>
      </c>
      <c r="AF584" s="164">
        <f t="shared" si="553"/>
        <v>0</v>
      </c>
      <c r="AG584" s="164">
        <f t="shared" si="553"/>
        <v>0</v>
      </c>
      <c r="AH584" s="164">
        <f t="shared" si="553"/>
        <v>0</v>
      </c>
      <c r="AI584" s="164">
        <f t="shared" si="553"/>
        <v>0</v>
      </c>
      <c r="AJ584" s="164">
        <f t="shared" si="553"/>
        <v>0</v>
      </c>
      <c r="AK584" s="164">
        <f t="shared" si="553"/>
        <v>0</v>
      </c>
      <c r="AL584" s="164">
        <f t="shared" si="553"/>
        <v>0</v>
      </c>
      <c r="AM584" s="164">
        <f t="shared" si="553"/>
        <v>0</v>
      </c>
    </row>
    <row r="585" spans="1:39">
      <c r="A585" s="100"/>
      <c r="B585" s="100"/>
      <c r="C585" s="100"/>
      <c r="D585" s="179" t="str">
        <f t="shared" si="548"/>
        <v>Software</v>
      </c>
      <c r="E585" s="165" t="str">
        <f>H498</f>
        <v>Airfield</v>
      </c>
      <c r="F585" s="165"/>
      <c r="G585" s="165" t="s">
        <v>78</v>
      </c>
      <c r="H585" s="121"/>
      <c r="I585" s="165"/>
      <c r="J585" s="165"/>
      <c r="K585" s="197"/>
      <c r="L585" s="197"/>
      <c r="M585" s="477"/>
      <c r="N585" s="164">
        <f>N200+SUMIFS(N$9:N$26,$J$9:$J$26,$G581,$K$9:$K$26,$G585)</f>
        <v>0</v>
      </c>
      <c r="O585" s="164">
        <f t="shared" ref="O585:X585" si="554">O200+SUMIFS(O$9:O$26,$J$9:$J$26,$G581,$K$9:$K$26,$G585)</f>
        <v>36764.198525432468</v>
      </c>
      <c r="P585" s="164">
        <f t="shared" si="554"/>
        <v>37408.436979661252</v>
      </c>
      <c r="Q585" s="164">
        <f t="shared" si="554"/>
        <v>38033.421408896844</v>
      </c>
      <c r="R585" s="164">
        <f t="shared" si="554"/>
        <v>38560.334257398536</v>
      </c>
      <c r="S585" s="164">
        <f t="shared" si="554"/>
        <v>2047.406270478132</v>
      </c>
      <c r="T585" s="164">
        <f t="shared" si="554"/>
        <v>1403.1678162493488</v>
      </c>
      <c r="U585" s="164">
        <f t="shared" si="554"/>
        <v>778.1833870137516</v>
      </c>
      <c r="V585" s="164">
        <f t="shared" si="554"/>
        <v>426.90815467929053</v>
      </c>
      <c r="W585" s="164">
        <f t="shared" si="554"/>
        <v>175.63761616723053</v>
      </c>
      <c r="X585" s="164">
        <f t="shared" si="554"/>
        <v>175.63761616723053</v>
      </c>
      <c r="Y585" s="164">
        <f>Y200+SUMIFS(Y$9:Y$26,$J$9:$J$26,$G581,$K$9:$K$26,$G585)</f>
        <v>175.63761616723053</v>
      </c>
      <c r="Z585" s="164">
        <f t="shared" ref="Z585:AM585" si="555">Z200+SUMIFS(Z$9:Z$26,$J$9:$J$26,$G581,$K$9:$K$26,$G585)</f>
        <v>175.63761616723053</v>
      </c>
      <c r="AA585" s="164">
        <f t="shared" si="555"/>
        <v>175.63761616723053</v>
      </c>
      <c r="AB585" s="164">
        <f t="shared" si="555"/>
        <v>0</v>
      </c>
      <c r="AC585" s="164">
        <f t="shared" si="555"/>
        <v>0</v>
      </c>
      <c r="AD585" s="164">
        <f t="shared" si="555"/>
        <v>0</v>
      </c>
      <c r="AE585" s="164">
        <f t="shared" si="555"/>
        <v>0</v>
      </c>
      <c r="AF585" s="164">
        <f t="shared" si="555"/>
        <v>0</v>
      </c>
      <c r="AG585" s="164">
        <f t="shared" si="555"/>
        <v>0</v>
      </c>
      <c r="AH585" s="164">
        <f t="shared" si="555"/>
        <v>0</v>
      </c>
      <c r="AI585" s="164">
        <f t="shared" si="555"/>
        <v>0</v>
      </c>
      <c r="AJ585" s="164">
        <f t="shared" si="555"/>
        <v>0</v>
      </c>
      <c r="AK585" s="164">
        <f t="shared" si="555"/>
        <v>0</v>
      </c>
      <c r="AL585" s="164">
        <f t="shared" si="555"/>
        <v>0</v>
      </c>
      <c r="AM585" s="164">
        <f t="shared" si="555"/>
        <v>0</v>
      </c>
    </row>
    <row r="586" spans="1:39">
      <c r="A586" s="100"/>
      <c r="B586" s="100"/>
      <c r="C586" s="100"/>
      <c r="D586" s="179" t="str">
        <f t="shared" si="548"/>
        <v>Software</v>
      </c>
      <c r="E586" s="165" t="str">
        <f>H498</f>
        <v>Airfield</v>
      </c>
      <c r="F586" s="165"/>
      <c r="G586" s="165" t="s">
        <v>88</v>
      </c>
      <c r="H586" s="121"/>
      <c r="I586" s="165"/>
      <c r="J586" s="165"/>
      <c r="K586" s="197"/>
      <c r="L586" s="197"/>
      <c r="M586" s="477"/>
      <c r="N586" s="230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  <c r="AJ586" s="229"/>
      <c r="AK586" s="229"/>
      <c r="AL586" s="229"/>
      <c r="AM586" s="229"/>
    </row>
    <row r="587" spans="1:39">
      <c r="A587" s="100"/>
      <c r="B587" s="100"/>
      <c r="C587" s="100"/>
      <c r="D587" s="179" t="str">
        <f t="shared" si="548"/>
        <v>Software</v>
      </c>
      <c r="E587" s="165" t="str">
        <f>H498</f>
        <v>Airfield</v>
      </c>
      <c r="F587" s="165"/>
      <c r="G587" s="165" t="s">
        <v>87</v>
      </c>
      <c r="H587" s="121"/>
      <c r="I587" s="165"/>
      <c r="J587" s="165"/>
      <c r="K587" s="197"/>
      <c r="L587" s="197"/>
      <c r="M587" s="477"/>
      <c r="N587" s="164">
        <f t="shared" ref="N587:X587" si="556">IF(M583&gt;0,M585/AVERAGE(M583,M588)*N586,0)</f>
        <v>0</v>
      </c>
      <c r="O587" s="164">
        <f t="shared" si="556"/>
        <v>0</v>
      </c>
      <c r="P587" s="164">
        <f t="shared" si="556"/>
        <v>0</v>
      </c>
      <c r="Q587" s="164">
        <f t="shared" si="556"/>
        <v>0</v>
      </c>
      <c r="R587" s="164">
        <f t="shared" si="556"/>
        <v>0</v>
      </c>
      <c r="S587" s="164">
        <f t="shared" si="556"/>
        <v>0</v>
      </c>
      <c r="T587" s="164">
        <f t="shared" si="556"/>
        <v>0</v>
      </c>
      <c r="U587" s="164">
        <f t="shared" si="556"/>
        <v>0</v>
      </c>
      <c r="V587" s="164">
        <f t="shared" si="556"/>
        <v>0</v>
      </c>
      <c r="W587" s="164">
        <f t="shared" si="556"/>
        <v>0</v>
      </c>
      <c r="X587" s="164">
        <f t="shared" si="556"/>
        <v>0</v>
      </c>
      <c r="Y587" s="164">
        <f t="shared" ref="Y587:AM587" si="557">IF(X583&gt;0,X585/AVERAGE(X583,X588)*Y586,0)</f>
        <v>0</v>
      </c>
      <c r="Z587" s="164">
        <f t="shared" si="557"/>
        <v>0</v>
      </c>
      <c r="AA587" s="164">
        <f t="shared" si="557"/>
        <v>0</v>
      </c>
      <c r="AB587" s="164">
        <f t="shared" si="557"/>
        <v>0</v>
      </c>
      <c r="AC587" s="164">
        <f t="shared" si="557"/>
        <v>0</v>
      </c>
      <c r="AD587" s="164">
        <f t="shared" si="557"/>
        <v>0</v>
      </c>
      <c r="AE587" s="164">
        <f t="shared" si="557"/>
        <v>0</v>
      </c>
      <c r="AF587" s="164">
        <f t="shared" si="557"/>
        <v>0</v>
      </c>
      <c r="AG587" s="164">
        <f t="shared" si="557"/>
        <v>0</v>
      </c>
      <c r="AH587" s="164">
        <f t="shared" si="557"/>
        <v>0</v>
      </c>
      <c r="AI587" s="164">
        <f t="shared" si="557"/>
        <v>0</v>
      </c>
      <c r="AJ587" s="164">
        <f t="shared" si="557"/>
        <v>0</v>
      </c>
      <c r="AK587" s="164">
        <f t="shared" si="557"/>
        <v>0</v>
      </c>
      <c r="AL587" s="164">
        <f t="shared" si="557"/>
        <v>0</v>
      </c>
      <c r="AM587" s="164">
        <f t="shared" si="557"/>
        <v>0</v>
      </c>
    </row>
    <row r="588" spans="1:39">
      <c r="A588" s="100"/>
      <c r="B588" s="100"/>
      <c r="C588" s="100"/>
      <c r="D588" s="179" t="str">
        <f t="shared" si="548"/>
        <v>Software</v>
      </c>
      <c r="E588" s="165" t="str">
        <f>H498</f>
        <v>Airfield</v>
      </c>
      <c r="F588" s="165"/>
      <c r="G588" s="200" t="s">
        <v>76</v>
      </c>
      <c r="H588" s="201"/>
      <c r="I588" s="200"/>
      <c r="J588" s="200"/>
      <c r="K588" s="199">
        <f>K202</f>
        <v>0</v>
      </c>
      <c r="L588" s="199">
        <f>L202</f>
        <v>0</v>
      </c>
      <c r="M588" s="527">
        <f>M202</f>
        <v>0</v>
      </c>
      <c r="N588" s="527">
        <f>N202</f>
        <v>132348.09695488837</v>
      </c>
      <c r="O588" s="198">
        <f t="shared" ref="O588:AM588" si="558">SUM(O583:O584,O586)-SUM(O585,O587)</f>
        <v>110292.5955762974</v>
      </c>
      <c r="P588" s="198">
        <f t="shared" si="558"/>
        <v>75461.11241355128</v>
      </c>
      <c r="Q588" s="198">
        <f t="shared" si="558"/>
        <v>39927.628721596819</v>
      </c>
      <c r="R588" s="198">
        <f t="shared" si="558"/>
        <v>4528.7715552084337</v>
      </c>
      <c r="S588" s="198">
        <f t="shared" si="558"/>
        <v>3486.4474387785422</v>
      </c>
      <c r="T588" s="198">
        <f t="shared" si="558"/>
        <v>2083.2796225291931</v>
      </c>
      <c r="U588" s="198">
        <f t="shared" si="558"/>
        <v>1305.0962355154415</v>
      </c>
      <c r="V588" s="198">
        <f t="shared" si="558"/>
        <v>878.18808083615102</v>
      </c>
      <c r="W588" s="198">
        <f t="shared" si="558"/>
        <v>702.55046466892054</v>
      </c>
      <c r="X588" s="198">
        <f t="shared" si="558"/>
        <v>526.91284850168995</v>
      </c>
      <c r="Y588" s="198">
        <f t="shared" si="558"/>
        <v>351.27523233445942</v>
      </c>
      <c r="Z588" s="198">
        <f t="shared" si="558"/>
        <v>175.63761616722888</v>
      </c>
      <c r="AA588" s="198">
        <f t="shared" si="558"/>
        <v>-1.6484591469634324E-12</v>
      </c>
      <c r="AB588" s="198">
        <f t="shared" si="558"/>
        <v>-1.6484591469634324E-12</v>
      </c>
      <c r="AC588" s="198">
        <f t="shared" si="558"/>
        <v>-1.6484591469634324E-12</v>
      </c>
      <c r="AD588" s="198">
        <f t="shared" si="558"/>
        <v>-1.6484591469634324E-12</v>
      </c>
      <c r="AE588" s="198">
        <f t="shared" si="558"/>
        <v>-1.6484591469634324E-12</v>
      </c>
      <c r="AF588" s="198">
        <f t="shared" si="558"/>
        <v>-1.6484591469634324E-12</v>
      </c>
      <c r="AG588" s="198">
        <f t="shared" si="558"/>
        <v>-1.6484591469634324E-12</v>
      </c>
      <c r="AH588" s="198">
        <f t="shared" si="558"/>
        <v>-1.6484591469634324E-12</v>
      </c>
      <c r="AI588" s="198">
        <f t="shared" si="558"/>
        <v>-1.6484591469634324E-12</v>
      </c>
      <c r="AJ588" s="198">
        <f t="shared" si="558"/>
        <v>-1.6484591469634324E-12</v>
      </c>
      <c r="AK588" s="198">
        <f t="shared" si="558"/>
        <v>-1.6484591469634324E-12</v>
      </c>
      <c r="AL588" s="198">
        <f t="shared" si="558"/>
        <v>-1.6484591469634324E-12</v>
      </c>
      <c r="AM588" s="198">
        <f t="shared" si="558"/>
        <v>-1.6484591469634324E-12</v>
      </c>
    </row>
    <row r="589" spans="1:39">
      <c r="A589" s="100"/>
      <c r="B589" s="100"/>
      <c r="C589" s="100"/>
      <c r="D589" s="179"/>
      <c r="E589" s="165"/>
      <c r="F589" s="165"/>
      <c r="G589" s="165"/>
      <c r="H589" s="121"/>
      <c r="I589" s="165"/>
      <c r="J589" s="165"/>
      <c r="K589" s="197"/>
      <c r="L589" s="197"/>
      <c r="M589" s="477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</row>
    <row r="590" spans="1:39">
      <c r="A590" s="100"/>
      <c r="B590" s="100"/>
      <c r="C590" s="100"/>
      <c r="D590" s="179"/>
      <c r="E590" s="165"/>
      <c r="F590" s="165"/>
      <c r="G590" s="165"/>
      <c r="H590" s="165"/>
      <c r="I590" s="165"/>
      <c r="J590" s="165"/>
      <c r="K590" s="48"/>
      <c r="L590" s="48"/>
      <c r="M590" s="208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  <c r="AA590" s="165"/>
      <c r="AB590" s="165"/>
      <c r="AC590" s="165"/>
      <c r="AD590" s="165"/>
      <c r="AE590" s="165"/>
      <c r="AF590" s="165"/>
      <c r="AG590" s="165"/>
      <c r="AH590" s="165"/>
      <c r="AI590" s="165"/>
      <c r="AJ590" s="165"/>
      <c r="AK590" s="165"/>
      <c r="AL590" s="165"/>
      <c r="AM590" s="165"/>
    </row>
    <row r="591" spans="1:39">
      <c r="A591" s="100"/>
      <c r="B591" s="100"/>
      <c r="C591" s="100"/>
      <c r="D591" s="179"/>
      <c r="E591" s="165"/>
      <c r="F591" s="165"/>
      <c r="G591" s="232"/>
      <c r="H591" s="231"/>
      <c r="I591" s="231"/>
      <c r="J591" s="165"/>
      <c r="K591" s="48"/>
      <c r="L591" s="48"/>
      <c r="M591" s="208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  <c r="AA591" s="165"/>
      <c r="AB591" s="165"/>
      <c r="AC591" s="165"/>
      <c r="AD591" s="165"/>
      <c r="AE591" s="165"/>
      <c r="AF591" s="165"/>
      <c r="AG591" s="165"/>
      <c r="AH591" s="165"/>
      <c r="AI591" s="165"/>
      <c r="AJ591" s="165"/>
      <c r="AK591" s="165"/>
      <c r="AL591" s="165"/>
      <c r="AM591" s="165"/>
    </row>
    <row r="592" spans="1:39" ht="15.75">
      <c r="A592" s="100"/>
      <c r="B592" s="100"/>
      <c r="C592" s="100"/>
      <c r="D592" s="179"/>
      <c r="E592" s="165"/>
      <c r="F592" s="165"/>
      <c r="G592" s="89" t="s">
        <v>81</v>
      </c>
      <c r="H592" s="212" t="s">
        <v>9</v>
      </c>
      <c r="I592" s="211"/>
      <c r="J592" s="210"/>
      <c r="K592" s="197"/>
      <c r="L592" s="197"/>
      <c r="M592" s="477"/>
      <c r="N592" s="164"/>
      <c r="O592" s="164"/>
      <c r="P592" s="164"/>
      <c r="Q592" s="164"/>
      <c r="R592" s="164"/>
      <c r="S592" s="164"/>
      <c r="T592" s="164"/>
      <c r="U592" s="164"/>
      <c r="V592" s="164"/>
      <c r="W592" s="164"/>
      <c r="X592" s="164"/>
      <c r="Y592" s="164"/>
      <c r="Z592" s="164"/>
      <c r="AA592" s="164"/>
      <c r="AB592" s="164"/>
      <c r="AC592" s="164"/>
      <c r="AD592" s="164"/>
      <c r="AE592" s="164"/>
      <c r="AF592" s="164"/>
      <c r="AG592" s="164"/>
      <c r="AH592" s="164"/>
      <c r="AI592" s="164"/>
      <c r="AJ592" s="164"/>
      <c r="AK592" s="164"/>
      <c r="AL592" s="164"/>
      <c r="AM592" s="164"/>
    </row>
    <row r="593" spans="1:39">
      <c r="A593" s="100"/>
      <c r="B593" s="100"/>
      <c r="C593" s="100"/>
      <c r="D593" s="179"/>
      <c r="E593" s="165"/>
      <c r="F593" s="165"/>
      <c r="G593" s="209"/>
      <c r="H593" s="121"/>
      <c r="I593" s="165"/>
      <c r="J593" s="165"/>
      <c r="K593" s="204"/>
      <c r="L593" s="48"/>
      <c r="M593" s="208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  <c r="AA593" s="165"/>
      <c r="AB593" s="165"/>
      <c r="AC593" s="165"/>
      <c r="AD593" s="165"/>
      <c r="AE593" s="165"/>
      <c r="AF593" s="165"/>
      <c r="AG593" s="165"/>
      <c r="AH593" s="165"/>
      <c r="AI593" s="165"/>
      <c r="AJ593" s="165"/>
      <c r="AK593" s="165"/>
      <c r="AL593" s="165"/>
      <c r="AM593" s="165"/>
    </row>
    <row r="594" spans="1:39">
      <c r="A594" s="100"/>
      <c r="B594" s="100"/>
      <c r="C594" s="100"/>
      <c r="D594" s="179"/>
      <c r="E594" s="165"/>
      <c r="F594" s="165"/>
      <c r="G594" s="206" t="s">
        <v>38</v>
      </c>
      <c r="H594" s="121"/>
      <c r="I594" s="165"/>
      <c r="J594" s="165"/>
      <c r="K594" s="204"/>
      <c r="L594" s="48"/>
      <c r="M594" s="208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  <c r="AA594" s="165"/>
      <c r="AB594" s="165"/>
      <c r="AC594" s="165"/>
      <c r="AD594" s="165"/>
      <c r="AE594" s="165"/>
      <c r="AF594" s="165"/>
      <c r="AG594" s="165"/>
      <c r="AH594" s="165"/>
      <c r="AI594" s="165"/>
      <c r="AJ594" s="165"/>
      <c r="AK594" s="165"/>
      <c r="AL594" s="165"/>
      <c r="AM594" s="165"/>
    </row>
    <row r="595" spans="1:39">
      <c r="A595" s="100"/>
      <c r="B595" s="100"/>
      <c r="C595" s="100"/>
      <c r="D595" s="179"/>
      <c r="E595" s="165"/>
      <c r="F595" s="165"/>
      <c r="G595" s="165" t="s">
        <v>89</v>
      </c>
      <c r="H595" s="121"/>
      <c r="I595" s="165"/>
      <c r="J595" s="165"/>
      <c r="K595" s="204"/>
      <c r="L595" s="48"/>
      <c r="M595" s="208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  <c r="AA595" s="165"/>
      <c r="AB595" s="165"/>
      <c r="AC595" s="165"/>
      <c r="AD595" s="165"/>
      <c r="AE595" s="165"/>
      <c r="AF595" s="165"/>
      <c r="AG595" s="165"/>
      <c r="AH595" s="165"/>
      <c r="AI595" s="165"/>
      <c r="AJ595" s="165"/>
      <c r="AK595" s="165"/>
      <c r="AL595" s="165"/>
      <c r="AM595" s="165"/>
    </row>
    <row r="596" spans="1:39">
      <c r="A596" s="100"/>
      <c r="B596" s="100"/>
      <c r="C596" s="100"/>
      <c r="D596" s="179" t="str">
        <f t="shared" ref="D596:D601" si="559">$G$500</f>
        <v>Land</v>
      </c>
      <c r="E596" s="165" t="str">
        <f>H592</f>
        <v>Terminal International</v>
      </c>
      <c r="F596" s="165"/>
      <c r="G596" s="165" t="s">
        <v>80</v>
      </c>
      <c r="H596" s="121"/>
      <c r="I596" s="165"/>
      <c r="J596" s="165"/>
      <c r="K596" s="530">
        <f>K601</f>
        <v>0</v>
      </c>
      <c r="L596" s="530">
        <f>L601</f>
        <v>0</v>
      </c>
      <c r="M596" s="531"/>
      <c r="N596" s="164">
        <f t="shared" ref="N596:S596" si="560">M601</f>
        <v>0</v>
      </c>
      <c r="O596" s="164">
        <f t="shared" si="560"/>
        <v>291277.10326118825</v>
      </c>
      <c r="P596" s="164">
        <f t="shared" si="560"/>
        <v>297393.9224296732</v>
      </c>
      <c r="Q596" s="164">
        <f t="shared" si="560"/>
        <v>303639.19480069634</v>
      </c>
      <c r="R596" s="164">
        <f t="shared" si="560"/>
        <v>310015.61789151095</v>
      </c>
      <c r="S596" s="164">
        <f t="shared" si="560"/>
        <v>316525.94586723269</v>
      </c>
      <c r="T596" s="164">
        <f t="shared" ref="T596:Y596" si="561">S601</f>
        <v>323172.99073044455</v>
      </c>
      <c r="U596" s="164">
        <f t="shared" si="561"/>
        <v>331252.31549870566</v>
      </c>
      <c r="V596" s="164">
        <f t="shared" si="561"/>
        <v>339533.62338617328</v>
      </c>
      <c r="W596" s="164">
        <f t="shared" si="561"/>
        <v>348021.96397082764</v>
      </c>
      <c r="X596" s="164">
        <f t="shared" si="561"/>
        <v>356722.51307009836</v>
      </c>
      <c r="Y596" s="164">
        <f t="shared" si="561"/>
        <v>365640.57589685079</v>
      </c>
      <c r="Z596" s="164">
        <f t="shared" ref="Z596:AM596" si="562">Y601</f>
        <v>374781.59029427206</v>
      </c>
      <c r="AA596" s="164">
        <f t="shared" si="562"/>
        <v>384151.13005162886</v>
      </c>
      <c r="AB596" s="164">
        <f t="shared" si="562"/>
        <v>393754.90830291959</v>
      </c>
      <c r="AC596" s="164">
        <f t="shared" si="562"/>
        <v>403598.78101049259</v>
      </c>
      <c r="AD596" s="164">
        <f t="shared" si="562"/>
        <v>413688.75053575489</v>
      </c>
      <c r="AE596" s="164">
        <f t="shared" si="562"/>
        <v>424030.96929914877</v>
      </c>
      <c r="AF596" s="164">
        <f t="shared" si="562"/>
        <v>434631.74353162746</v>
      </c>
      <c r="AG596" s="164">
        <f t="shared" si="562"/>
        <v>445497.53711991815</v>
      </c>
      <c r="AH596" s="164">
        <f t="shared" si="562"/>
        <v>456634.97554791608</v>
      </c>
      <c r="AI596" s="164">
        <f t="shared" si="562"/>
        <v>468050.84993661399</v>
      </c>
      <c r="AJ596" s="164">
        <f t="shared" si="562"/>
        <v>479752.12118502933</v>
      </c>
      <c r="AK596" s="164">
        <f t="shared" si="562"/>
        <v>491745.92421465507</v>
      </c>
      <c r="AL596" s="164">
        <f t="shared" si="562"/>
        <v>491745.92421465507</v>
      </c>
      <c r="AM596" s="164">
        <f t="shared" si="562"/>
        <v>491745.92421465507</v>
      </c>
    </row>
    <row r="597" spans="1:39">
      <c r="A597" s="100"/>
      <c r="B597" s="100"/>
      <c r="C597" s="100"/>
      <c r="D597" s="179" t="str">
        <f t="shared" si="559"/>
        <v>Land</v>
      </c>
      <c r="E597" s="165" t="str">
        <f>H592</f>
        <v>Terminal International</v>
      </c>
      <c r="F597" s="165"/>
      <c r="G597" s="165" t="s">
        <v>83</v>
      </c>
      <c r="H597" s="121"/>
      <c r="I597" s="165"/>
      <c r="J597" s="165"/>
      <c r="K597" s="532">
        <v>0</v>
      </c>
      <c r="L597" s="532">
        <v>0</v>
      </c>
      <c r="M597" s="533">
        <v>1</v>
      </c>
      <c r="N597" s="164">
        <f>SUMIFS(N$27:N$44,$J$27:$J$44,$G594,$K$27:$K$44,$G597)</f>
        <v>0</v>
      </c>
      <c r="O597" s="164">
        <f t="shared" ref="O597:X597" si="563">SUMIFS(O$27:O$44,$J$27:$J$44,$G594,$K$27:$K$44,$G597)</f>
        <v>0</v>
      </c>
      <c r="P597" s="164">
        <f t="shared" si="563"/>
        <v>0</v>
      </c>
      <c r="Q597" s="164">
        <f t="shared" si="563"/>
        <v>0</v>
      </c>
      <c r="R597" s="164">
        <f t="shared" si="563"/>
        <v>0</v>
      </c>
      <c r="S597" s="164">
        <f t="shared" si="563"/>
        <v>0</v>
      </c>
      <c r="T597" s="164">
        <f t="shared" si="563"/>
        <v>0</v>
      </c>
      <c r="U597" s="164">
        <f t="shared" si="563"/>
        <v>0</v>
      </c>
      <c r="V597" s="164">
        <f t="shared" si="563"/>
        <v>0</v>
      </c>
      <c r="W597" s="164">
        <f t="shared" si="563"/>
        <v>0</v>
      </c>
      <c r="X597" s="164">
        <f t="shared" si="563"/>
        <v>0</v>
      </c>
      <c r="Y597" s="164">
        <f>SUMIFS(Y$27:Y$44,$J$27:$J$44,$G594,$K$27:$K$44,$G597)</f>
        <v>0</v>
      </c>
      <c r="Z597" s="164">
        <f t="shared" ref="Z597:AM597" si="564">SUMIFS(Z$27:Z$44,$J$27:$J$44,$G594,$K$27:$K$44,$G597)</f>
        <v>0</v>
      </c>
      <c r="AA597" s="164">
        <f t="shared" si="564"/>
        <v>0</v>
      </c>
      <c r="AB597" s="164">
        <f t="shared" si="564"/>
        <v>0</v>
      </c>
      <c r="AC597" s="164">
        <f t="shared" si="564"/>
        <v>0</v>
      </c>
      <c r="AD597" s="164">
        <f t="shared" si="564"/>
        <v>0</v>
      </c>
      <c r="AE597" s="164">
        <f t="shared" si="564"/>
        <v>0</v>
      </c>
      <c r="AF597" s="164">
        <f t="shared" si="564"/>
        <v>0</v>
      </c>
      <c r="AG597" s="164">
        <f t="shared" si="564"/>
        <v>0</v>
      </c>
      <c r="AH597" s="164">
        <f t="shared" si="564"/>
        <v>0</v>
      </c>
      <c r="AI597" s="164">
        <f t="shared" si="564"/>
        <v>0</v>
      </c>
      <c r="AJ597" s="164">
        <f t="shared" si="564"/>
        <v>0</v>
      </c>
      <c r="AK597" s="164">
        <f t="shared" si="564"/>
        <v>0</v>
      </c>
      <c r="AL597" s="164">
        <f t="shared" si="564"/>
        <v>0</v>
      </c>
      <c r="AM597" s="164">
        <f t="shared" si="564"/>
        <v>0</v>
      </c>
    </row>
    <row r="598" spans="1:39">
      <c r="A598" s="100"/>
      <c r="B598" s="100"/>
      <c r="C598" s="100"/>
      <c r="D598" s="179" t="str">
        <f t="shared" si="559"/>
        <v>Land</v>
      </c>
      <c r="E598" s="165" t="str">
        <f>H592</f>
        <v>Terminal International</v>
      </c>
      <c r="F598" s="165"/>
      <c r="G598" s="165" t="s">
        <v>78</v>
      </c>
      <c r="H598" s="121"/>
      <c r="I598" s="165"/>
      <c r="J598" s="165"/>
      <c r="K598" s="197"/>
      <c r="L598" s="197"/>
      <c r="M598" s="477"/>
      <c r="N598" s="164">
        <f>N214+SUMIFS(N$45:N$62,$J$45:$J$62,$G594,$K$45:$K$62,$G598)</f>
        <v>0</v>
      </c>
      <c r="O598" s="164">
        <f t="shared" ref="O598:X598" si="565">O214+SUMIFS(O$27:O$44,$J$27:$J$44,$G594,$K$27:$K$44,$G598)</f>
        <v>0</v>
      </c>
      <c r="P598" s="164">
        <f t="shared" si="565"/>
        <v>0</v>
      </c>
      <c r="Q598" s="164">
        <f t="shared" si="565"/>
        <v>0</v>
      </c>
      <c r="R598" s="164">
        <f t="shared" si="565"/>
        <v>0</v>
      </c>
      <c r="S598" s="164">
        <f t="shared" si="565"/>
        <v>0</v>
      </c>
      <c r="T598" s="164">
        <f t="shared" si="565"/>
        <v>0</v>
      </c>
      <c r="U598" s="164">
        <f t="shared" si="565"/>
        <v>0</v>
      </c>
      <c r="V598" s="164">
        <f t="shared" si="565"/>
        <v>0</v>
      </c>
      <c r="W598" s="164">
        <f t="shared" si="565"/>
        <v>0</v>
      </c>
      <c r="X598" s="164">
        <f t="shared" si="565"/>
        <v>0</v>
      </c>
      <c r="Y598" s="164">
        <f>Y214+SUMIFS(Y$27:Y$44,$J$27:$J$44,$G594,$K$27:$K$44,$G598)</f>
        <v>0</v>
      </c>
      <c r="Z598" s="164">
        <f t="shared" ref="Z598:AM598" si="566">Z214+SUMIFS(Z$27:Z$44,$J$27:$J$44,$G594,$K$27:$K$44,$G598)</f>
        <v>0</v>
      </c>
      <c r="AA598" s="164">
        <f t="shared" si="566"/>
        <v>0</v>
      </c>
      <c r="AB598" s="164">
        <f t="shared" si="566"/>
        <v>0</v>
      </c>
      <c r="AC598" s="164">
        <f t="shared" si="566"/>
        <v>0</v>
      </c>
      <c r="AD598" s="164">
        <f t="shared" si="566"/>
        <v>0</v>
      </c>
      <c r="AE598" s="164">
        <f t="shared" si="566"/>
        <v>0</v>
      </c>
      <c r="AF598" s="164">
        <f t="shared" si="566"/>
        <v>0</v>
      </c>
      <c r="AG598" s="164">
        <f t="shared" si="566"/>
        <v>0</v>
      </c>
      <c r="AH598" s="164">
        <f t="shared" si="566"/>
        <v>0</v>
      </c>
      <c r="AI598" s="164">
        <f t="shared" si="566"/>
        <v>0</v>
      </c>
      <c r="AJ598" s="164">
        <f t="shared" si="566"/>
        <v>0</v>
      </c>
      <c r="AK598" s="164">
        <f t="shared" si="566"/>
        <v>0</v>
      </c>
      <c r="AL598" s="164">
        <f t="shared" si="566"/>
        <v>0</v>
      </c>
      <c r="AM598" s="164">
        <f t="shared" si="566"/>
        <v>0</v>
      </c>
    </row>
    <row r="599" spans="1:39">
      <c r="A599" s="100"/>
      <c r="B599" s="100"/>
      <c r="C599" s="100"/>
      <c r="D599" s="179" t="str">
        <f t="shared" si="559"/>
        <v>Land</v>
      </c>
      <c r="E599" s="165" t="str">
        <f>H592</f>
        <v>Terminal International</v>
      </c>
      <c r="F599" s="165"/>
      <c r="G599" s="165" t="s">
        <v>88</v>
      </c>
      <c r="H599" s="121"/>
      <c r="I599" s="165"/>
      <c r="J599" s="165"/>
      <c r="K599" s="197"/>
      <c r="L599" s="197"/>
      <c r="M599" s="477"/>
      <c r="N599" s="331"/>
      <c r="O599" s="545">
        <f>N601*'Volume &amp; CPI forecast'!O13</f>
        <v>6116.8191684849535</v>
      </c>
      <c r="P599" s="545">
        <f>O601*'Volume &amp; CPI forecast'!P13</f>
        <v>6245.2723710231376</v>
      </c>
      <c r="Q599" s="545">
        <f>P601*'Volume &amp; CPI forecast'!Q13</f>
        <v>6376.4230908146237</v>
      </c>
      <c r="R599" s="545">
        <f>Q601*'Volume &amp; CPI forecast'!R13</f>
        <v>6510.3279757217306</v>
      </c>
      <c r="S599" s="545">
        <f>R601*'Volume &amp; CPI forecast'!S13</f>
        <v>6647.0448632118869</v>
      </c>
      <c r="T599" s="545">
        <f>S601*'Volume &amp; CPI forecast'!T13</f>
        <v>8079.3247682611145</v>
      </c>
      <c r="U599" s="545">
        <f>T601*'Volume &amp; CPI forecast'!U13</f>
        <v>8281.3078874676412</v>
      </c>
      <c r="V599" s="545">
        <f>U601*'Volume &amp; CPI forecast'!V13</f>
        <v>8488.3405846543319</v>
      </c>
      <c r="W599" s="545">
        <f>V601*'Volume &amp; CPI forecast'!W13</f>
        <v>8700.5490992706909</v>
      </c>
      <c r="X599" s="545">
        <f>W601*'Volume &amp; CPI forecast'!X13</f>
        <v>8918.0628267524589</v>
      </c>
      <c r="Y599" s="545">
        <f>X601*'Volume &amp; CPI forecast'!Y13</f>
        <v>9141.0143974212697</v>
      </c>
      <c r="Z599" s="545">
        <f>Y601*'Volume &amp; CPI forecast'!Z13</f>
        <v>9369.5397573568025</v>
      </c>
      <c r="AA599" s="545">
        <f>Z601*'Volume &amp; CPI forecast'!AA13</f>
        <v>9603.7782512907215</v>
      </c>
      <c r="AB599" s="545">
        <f>AA601*'Volume &amp; CPI forecast'!AB13</f>
        <v>9843.8727075729912</v>
      </c>
      <c r="AC599" s="545">
        <f>AB601*'Volume &amp; CPI forecast'!AC13</f>
        <v>10089.969525262315</v>
      </c>
      <c r="AD599" s="545">
        <f>AC601*'Volume &amp; CPI forecast'!AD13</f>
        <v>10342.218763393874</v>
      </c>
      <c r="AE599" s="545">
        <f>AD601*'Volume &amp; CPI forecast'!AE13</f>
        <v>10600.77423247872</v>
      </c>
      <c r="AF599" s="545">
        <f>AE601*'Volume &amp; CPI forecast'!AF13</f>
        <v>10865.793588290688</v>
      </c>
      <c r="AG599" s="545">
        <f>AF601*'Volume &amp; CPI forecast'!AG13</f>
        <v>11137.438427997955</v>
      </c>
      <c r="AH599" s="545">
        <f>AG601*'Volume &amp; CPI forecast'!AH13</f>
        <v>11415.874388697903</v>
      </c>
      <c r="AI599" s="331">
        <f>AH601*'Volume &amp; CPI forecast'!AI13</f>
        <v>11701.271248415351</v>
      </c>
      <c r="AJ599" s="331">
        <f>AI601*'Volume &amp; CPI forecast'!AJ13</f>
        <v>11993.803029625735</v>
      </c>
      <c r="AK599" s="331">
        <f>AJ601*'Volume &amp; CPI forecast'!AK13</f>
        <v>0</v>
      </c>
      <c r="AL599" s="331">
        <f>AK601*'Volume &amp; CPI forecast'!AL13</f>
        <v>0</v>
      </c>
      <c r="AM599" s="331">
        <f>AL601*'Volume &amp; CPI forecast'!AM13</f>
        <v>0</v>
      </c>
    </row>
    <row r="600" spans="1:39">
      <c r="A600" s="100"/>
      <c r="B600" s="100"/>
      <c r="C600" s="100"/>
      <c r="D600" s="179" t="str">
        <f t="shared" si="559"/>
        <v>Land</v>
      </c>
      <c r="E600" s="165" t="str">
        <f>H592</f>
        <v>Terminal International</v>
      </c>
      <c r="F600" s="165"/>
      <c r="G600" s="165" t="s">
        <v>87</v>
      </c>
      <c r="H600" s="121"/>
      <c r="I600" s="165"/>
      <c r="J600" s="165"/>
      <c r="K600" s="197"/>
      <c r="L600" s="197"/>
      <c r="M600" s="477"/>
      <c r="N600" s="164">
        <f t="shared" ref="N600:X600" si="567">IF(M596&gt;0,M598/AVERAGE(M596,M601)*N599,0)</f>
        <v>0</v>
      </c>
      <c r="O600" s="164">
        <f t="shared" si="567"/>
        <v>0</v>
      </c>
      <c r="P600" s="164">
        <f t="shared" si="567"/>
        <v>0</v>
      </c>
      <c r="Q600" s="164">
        <f t="shared" si="567"/>
        <v>0</v>
      </c>
      <c r="R600" s="164">
        <f t="shared" si="567"/>
        <v>0</v>
      </c>
      <c r="S600" s="164">
        <f t="shared" si="567"/>
        <v>0</v>
      </c>
      <c r="T600" s="164">
        <f t="shared" si="567"/>
        <v>0</v>
      </c>
      <c r="U600" s="164">
        <f t="shared" si="567"/>
        <v>0</v>
      </c>
      <c r="V600" s="164">
        <f t="shared" si="567"/>
        <v>0</v>
      </c>
      <c r="W600" s="164">
        <f t="shared" si="567"/>
        <v>0</v>
      </c>
      <c r="X600" s="164">
        <f t="shared" si="567"/>
        <v>0</v>
      </c>
      <c r="Y600" s="164">
        <f t="shared" ref="Y600:AM600" si="568">IF(X596&gt;0,X598/AVERAGE(X596,X601)*Y599,0)</f>
        <v>0</v>
      </c>
      <c r="Z600" s="164">
        <f t="shared" si="568"/>
        <v>0</v>
      </c>
      <c r="AA600" s="164">
        <f t="shared" si="568"/>
        <v>0</v>
      </c>
      <c r="AB600" s="164">
        <f t="shared" si="568"/>
        <v>0</v>
      </c>
      <c r="AC600" s="164">
        <f t="shared" si="568"/>
        <v>0</v>
      </c>
      <c r="AD600" s="164">
        <f t="shared" si="568"/>
        <v>0</v>
      </c>
      <c r="AE600" s="164">
        <f t="shared" si="568"/>
        <v>0</v>
      </c>
      <c r="AF600" s="164">
        <f t="shared" si="568"/>
        <v>0</v>
      </c>
      <c r="AG600" s="164">
        <f t="shared" si="568"/>
        <v>0</v>
      </c>
      <c r="AH600" s="164">
        <f t="shared" si="568"/>
        <v>0</v>
      </c>
      <c r="AI600" s="164">
        <f t="shared" si="568"/>
        <v>0</v>
      </c>
      <c r="AJ600" s="164">
        <f t="shared" si="568"/>
        <v>0</v>
      </c>
      <c r="AK600" s="164">
        <f t="shared" si="568"/>
        <v>0</v>
      </c>
      <c r="AL600" s="164">
        <f t="shared" si="568"/>
        <v>0</v>
      </c>
      <c r="AM600" s="164">
        <f t="shared" si="568"/>
        <v>0</v>
      </c>
    </row>
    <row r="601" spans="1:39">
      <c r="A601" s="100"/>
      <c r="B601" s="100"/>
      <c r="C601" s="100"/>
      <c r="D601" s="179" t="str">
        <f t="shared" si="559"/>
        <v>Land</v>
      </c>
      <c r="E601" s="165" t="str">
        <f>H592</f>
        <v>Terminal International</v>
      </c>
      <c r="F601" s="165"/>
      <c r="G601" s="200" t="s">
        <v>76</v>
      </c>
      <c r="H601" s="201"/>
      <c r="I601" s="200"/>
      <c r="J601" s="200"/>
      <c r="K601" s="199">
        <f>K216</f>
        <v>0</v>
      </c>
      <c r="L601" s="199">
        <f>L216</f>
        <v>0</v>
      </c>
      <c r="M601" s="527">
        <f>M216</f>
        <v>0</v>
      </c>
      <c r="N601" s="198">
        <f>N216</f>
        <v>291277.10326118825</v>
      </c>
      <c r="O601" s="198">
        <f t="shared" ref="O601:AM601" si="569">SUM(O596:O597,O599)-SUM(O598,O600)</f>
        <v>297393.9224296732</v>
      </c>
      <c r="P601" s="198">
        <f t="shared" si="569"/>
        <v>303639.19480069634</v>
      </c>
      <c r="Q601" s="198">
        <f t="shared" si="569"/>
        <v>310015.61789151095</v>
      </c>
      <c r="R601" s="198">
        <f t="shared" si="569"/>
        <v>316525.94586723269</v>
      </c>
      <c r="S601" s="198">
        <f t="shared" si="569"/>
        <v>323172.99073044455</v>
      </c>
      <c r="T601" s="198">
        <f t="shared" si="569"/>
        <v>331252.31549870566</v>
      </c>
      <c r="U601" s="198">
        <f t="shared" si="569"/>
        <v>339533.62338617328</v>
      </c>
      <c r="V601" s="198">
        <f t="shared" si="569"/>
        <v>348021.96397082764</v>
      </c>
      <c r="W601" s="198">
        <f t="shared" si="569"/>
        <v>356722.51307009836</v>
      </c>
      <c r="X601" s="198">
        <f t="shared" si="569"/>
        <v>365640.57589685079</v>
      </c>
      <c r="Y601" s="198">
        <f t="shared" si="569"/>
        <v>374781.59029427206</v>
      </c>
      <c r="Z601" s="198">
        <f t="shared" si="569"/>
        <v>384151.13005162886</v>
      </c>
      <c r="AA601" s="198">
        <f t="shared" si="569"/>
        <v>393754.90830291959</v>
      </c>
      <c r="AB601" s="198">
        <f t="shared" si="569"/>
        <v>403598.78101049259</v>
      </c>
      <c r="AC601" s="198">
        <f t="shared" si="569"/>
        <v>413688.75053575489</v>
      </c>
      <c r="AD601" s="198">
        <f t="shared" si="569"/>
        <v>424030.96929914877</v>
      </c>
      <c r="AE601" s="198">
        <f t="shared" si="569"/>
        <v>434631.74353162746</v>
      </c>
      <c r="AF601" s="198">
        <f t="shared" si="569"/>
        <v>445497.53711991815</v>
      </c>
      <c r="AG601" s="198">
        <f t="shared" si="569"/>
        <v>456634.97554791608</v>
      </c>
      <c r="AH601" s="198">
        <f t="shared" si="569"/>
        <v>468050.84993661399</v>
      </c>
      <c r="AI601" s="198">
        <f t="shared" si="569"/>
        <v>479752.12118502933</v>
      </c>
      <c r="AJ601" s="198">
        <f t="shared" si="569"/>
        <v>491745.92421465507</v>
      </c>
      <c r="AK601" s="198">
        <f t="shared" si="569"/>
        <v>491745.92421465507</v>
      </c>
      <c r="AL601" s="198">
        <f t="shared" si="569"/>
        <v>491745.92421465507</v>
      </c>
      <c r="AM601" s="198">
        <f t="shared" si="569"/>
        <v>491745.92421465507</v>
      </c>
    </row>
    <row r="602" spans="1:39">
      <c r="A602" s="100"/>
      <c r="B602" s="100"/>
      <c r="C602" s="100"/>
      <c r="D602" s="179"/>
      <c r="E602" s="165"/>
      <c r="F602" s="165"/>
      <c r="G602" s="165"/>
      <c r="H602" s="121"/>
      <c r="I602" s="165"/>
      <c r="J602" s="165"/>
      <c r="K602" s="197"/>
      <c r="L602" s="197"/>
      <c r="M602" s="477"/>
      <c r="N602" s="164"/>
      <c r="O602" s="164"/>
      <c r="P602" s="164"/>
      <c r="Q602" s="164"/>
      <c r="R602" s="164"/>
      <c r="S602" s="164"/>
      <c r="T602" s="164"/>
      <c r="U602" s="164"/>
      <c r="V602" s="164"/>
      <c r="W602" s="164"/>
      <c r="X602" s="164"/>
      <c r="Y602" s="164"/>
      <c r="Z602" s="164"/>
      <c r="AA602" s="164"/>
      <c r="AB602" s="164"/>
      <c r="AC602" s="164"/>
      <c r="AD602" s="164"/>
      <c r="AE602" s="164"/>
      <c r="AF602" s="164"/>
      <c r="AG602" s="164"/>
      <c r="AH602" s="164"/>
      <c r="AI602" s="164"/>
      <c r="AJ602" s="164"/>
      <c r="AK602" s="164"/>
      <c r="AL602" s="164"/>
      <c r="AM602" s="164"/>
    </row>
    <row r="603" spans="1:39">
      <c r="A603" s="100"/>
      <c r="B603" s="100"/>
      <c r="C603" s="100"/>
      <c r="D603" s="179"/>
      <c r="E603" s="165"/>
      <c r="F603" s="165"/>
      <c r="G603" s="206" t="s">
        <v>37</v>
      </c>
      <c r="H603" s="121"/>
      <c r="I603" s="165"/>
      <c r="J603" s="165"/>
      <c r="K603" s="204"/>
      <c r="L603" s="197"/>
      <c r="M603" s="477"/>
      <c r="N603" s="164"/>
      <c r="O603" s="164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  <c r="AG603" s="165"/>
      <c r="AH603" s="165"/>
      <c r="AI603" s="165"/>
      <c r="AJ603" s="165"/>
      <c r="AK603" s="165"/>
      <c r="AL603" s="165"/>
      <c r="AM603" s="165"/>
    </row>
    <row r="604" spans="1:39">
      <c r="A604" s="100"/>
      <c r="B604" s="100"/>
      <c r="C604" s="100"/>
      <c r="D604" s="179"/>
      <c r="E604" s="165"/>
      <c r="F604" s="165"/>
      <c r="G604" s="205"/>
      <c r="H604" s="121"/>
      <c r="I604" s="165"/>
      <c r="J604" s="165"/>
      <c r="K604" s="204"/>
      <c r="L604" s="197"/>
      <c r="M604" s="477"/>
      <c r="N604" s="164"/>
      <c r="O604" s="164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G604" s="165"/>
      <c r="AH604" s="165"/>
      <c r="AI604" s="165"/>
      <c r="AJ604" s="165"/>
      <c r="AK604" s="165"/>
      <c r="AL604" s="165"/>
      <c r="AM604" s="165"/>
    </row>
    <row r="605" spans="1:39">
      <c r="A605" s="100"/>
      <c r="B605" s="100"/>
      <c r="C605" s="100"/>
      <c r="D605" s="179" t="str">
        <f t="shared" ref="D605:D610" si="570">$G$509</f>
        <v>Buildings</v>
      </c>
      <c r="E605" s="165" t="str">
        <f>H592</f>
        <v>Terminal International</v>
      </c>
      <c r="F605" s="165"/>
      <c r="G605" s="165" t="s">
        <v>80</v>
      </c>
      <c r="H605" s="121"/>
      <c r="I605" s="165"/>
      <c r="J605" s="165"/>
      <c r="K605" s="530">
        <f>K610</f>
        <v>0</v>
      </c>
      <c r="L605" s="530">
        <f>L610</f>
        <v>0</v>
      </c>
      <c r="M605" s="531"/>
      <c r="N605" s="164"/>
      <c r="O605" s="164">
        <f t="shared" ref="O605:Y605" si="571">N610</f>
        <v>35988.117213077276</v>
      </c>
      <c r="P605" s="164">
        <f t="shared" si="571"/>
        <v>33145.055953244169</v>
      </c>
      <c r="Q605" s="164">
        <f t="shared" si="571"/>
        <v>30169.82334032072</v>
      </c>
      <c r="R605" s="164">
        <f t="shared" si="571"/>
        <v>27132.554213729978</v>
      </c>
      <c r="S605" s="164">
        <f t="shared" si="571"/>
        <v>24031.956882850427</v>
      </c>
      <c r="T605" s="164">
        <f t="shared" si="571"/>
        <v>20866.821099028995</v>
      </c>
      <c r="U605" s="164">
        <f t="shared" si="571"/>
        <v>17706.052060817885</v>
      </c>
      <c r="V605" s="164">
        <f t="shared" si="571"/>
        <v>14467.293765276709</v>
      </c>
      <c r="W605" s="164">
        <f t="shared" si="571"/>
        <v>11149.251034140907</v>
      </c>
      <c r="X605" s="164">
        <f t="shared" si="571"/>
        <v>7750.8539077688665</v>
      </c>
      <c r="Y605" s="164">
        <f t="shared" si="571"/>
        <v>4272.020653165664</v>
      </c>
      <c r="Z605" s="164">
        <f t="shared" ref="Z605:AM605" si="572">Y610</f>
        <v>4314.8838892613576</v>
      </c>
      <c r="AA605" s="164">
        <f t="shared" si="572"/>
        <v>4422.7559864928917</v>
      </c>
      <c r="AB605" s="164">
        <f t="shared" si="572"/>
        <v>4533.3248861552138</v>
      </c>
      <c r="AC605" s="164">
        <f t="shared" si="572"/>
        <v>4646.6580083090939</v>
      </c>
      <c r="AD605" s="164">
        <f t="shared" si="572"/>
        <v>4762.8244585168213</v>
      </c>
      <c r="AE605" s="164">
        <f t="shared" si="572"/>
        <v>4881.8950699797415</v>
      </c>
      <c r="AF605" s="164">
        <f t="shared" si="572"/>
        <v>5003.9424467292347</v>
      </c>
      <c r="AG605" s="164">
        <f t="shared" si="572"/>
        <v>5129.0410078974655</v>
      </c>
      <c r="AH605" s="164">
        <f t="shared" si="572"/>
        <v>5257.2670330949022</v>
      </c>
      <c r="AI605" s="164">
        <f t="shared" si="572"/>
        <v>5388.6987089222748</v>
      </c>
      <c r="AJ605" s="164">
        <f t="shared" si="572"/>
        <v>5523.4161766453317</v>
      </c>
      <c r="AK605" s="164">
        <f t="shared" si="572"/>
        <v>5661.501581061465</v>
      </c>
      <c r="AL605" s="164">
        <f t="shared" si="572"/>
        <v>5661.501581061465</v>
      </c>
      <c r="AM605" s="164">
        <f t="shared" si="572"/>
        <v>5661.501581061465</v>
      </c>
    </row>
    <row r="606" spans="1:39">
      <c r="A606" s="100"/>
      <c r="B606" s="100"/>
      <c r="C606" s="100"/>
      <c r="D606" s="179" t="str">
        <f t="shared" si="570"/>
        <v>Buildings</v>
      </c>
      <c r="E606" s="165" t="str">
        <f>H592</f>
        <v>Terminal International</v>
      </c>
      <c r="F606" s="165"/>
      <c r="G606" s="165" t="s">
        <v>83</v>
      </c>
      <c r="H606" s="121"/>
      <c r="I606" s="165"/>
      <c r="J606" s="165"/>
      <c r="K606" s="532"/>
      <c r="L606" s="532"/>
      <c r="M606" s="533"/>
      <c r="N606" s="164"/>
      <c r="O606" s="164">
        <f t="shared" ref="O606:X606" si="573">SUMIFS(O$27:O$44,$J$27:$J$44,$G603,$K$27:$K$44,$G606)</f>
        <v>0</v>
      </c>
      <c r="P606" s="164">
        <f t="shared" si="573"/>
        <v>0</v>
      </c>
      <c r="Q606" s="164">
        <f t="shared" si="573"/>
        <v>0</v>
      </c>
      <c r="R606" s="164">
        <f t="shared" si="573"/>
        <v>0</v>
      </c>
      <c r="S606" s="164">
        <f t="shared" si="573"/>
        <v>0</v>
      </c>
      <c r="T606" s="164">
        <f t="shared" si="573"/>
        <v>0</v>
      </c>
      <c r="U606" s="164">
        <f t="shared" si="573"/>
        <v>0</v>
      </c>
      <c r="V606" s="164">
        <f t="shared" si="573"/>
        <v>0</v>
      </c>
      <c r="W606" s="164">
        <f t="shared" si="573"/>
        <v>0</v>
      </c>
      <c r="X606" s="164">
        <f t="shared" si="573"/>
        <v>0</v>
      </c>
      <c r="Y606" s="164">
        <f>SUMIFS(Y$27:Y$44,$J$27:$J$44,$G603,$K$27:$K$44,$G606)</f>
        <v>0</v>
      </c>
      <c r="Z606" s="164">
        <f t="shared" ref="Z606:AM606" si="574">SUMIFS(Z$27:Z$44,$J$27:$J$44,$G603,$K$27:$K$44,$G606)</f>
        <v>0</v>
      </c>
      <c r="AA606" s="164">
        <f t="shared" si="574"/>
        <v>0</v>
      </c>
      <c r="AB606" s="164">
        <f t="shared" si="574"/>
        <v>0</v>
      </c>
      <c r="AC606" s="164">
        <f t="shared" si="574"/>
        <v>0</v>
      </c>
      <c r="AD606" s="164">
        <f t="shared" si="574"/>
        <v>0</v>
      </c>
      <c r="AE606" s="164">
        <f t="shared" si="574"/>
        <v>0</v>
      </c>
      <c r="AF606" s="164">
        <f t="shared" si="574"/>
        <v>0</v>
      </c>
      <c r="AG606" s="164">
        <f t="shared" si="574"/>
        <v>0</v>
      </c>
      <c r="AH606" s="164">
        <f t="shared" si="574"/>
        <v>0</v>
      </c>
      <c r="AI606" s="164">
        <f t="shared" si="574"/>
        <v>0</v>
      </c>
      <c r="AJ606" s="164">
        <f t="shared" si="574"/>
        <v>0</v>
      </c>
      <c r="AK606" s="164">
        <f t="shared" si="574"/>
        <v>0</v>
      </c>
      <c r="AL606" s="164">
        <f t="shared" si="574"/>
        <v>0</v>
      </c>
      <c r="AM606" s="164">
        <f t="shared" si="574"/>
        <v>0</v>
      </c>
    </row>
    <row r="607" spans="1:39">
      <c r="A607" s="100"/>
      <c r="B607" s="100"/>
      <c r="C607" s="100"/>
      <c r="D607" s="179" t="str">
        <f t="shared" si="570"/>
        <v>Buildings</v>
      </c>
      <c r="E607" s="165" t="str">
        <f>H592</f>
        <v>Terminal International</v>
      </c>
      <c r="F607" s="165"/>
      <c r="G607" s="165" t="s">
        <v>78</v>
      </c>
      <c r="H607" s="121"/>
      <c r="I607" s="165"/>
      <c r="J607" s="165"/>
      <c r="K607" s="197"/>
      <c r="L607" s="197"/>
      <c r="M607" s="477"/>
      <c r="N607" s="164"/>
      <c r="O607" s="164">
        <f t="shared" ref="O607:X607" si="575">O223+SUMIFS(O$27:O$44,$J$27:$J$44,$G603,$K$27:$K$44,$G607)</f>
        <v>3598.8117213077276</v>
      </c>
      <c r="P607" s="164">
        <f t="shared" si="575"/>
        <v>3598.8117213077276</v>
      </c>
      <c r="Q607" s="164">
        <f t="shared" si="575"/>
        <v>3598.8117213077276</v>
      </c>
      <c r="R607" s="164">
        <f t="shared" si="575"/>
        <v>3598.8117213077276</v>
      </c>
      <c r="S607" s="164">
        <f t="shared" si="575"/>
        <v>3598.8117213077276</v>
      </c>
      <c r="T607" s="164">
        <f t="shared" si="575"/>
        <v>3598.8117213077276</v>
      </c>
      <c r="U607" s="164">
        <f t="shared" si="575"/>
        <v>3598.8117213077276</v>
      </c>
      <c r="V607" s="164">
        <f t="shared" si="575"/>
        <v>3598.8117213077276</v>
      </c>
      <c r="W607" s="164">
        <f t="shared" si="575"/>
        <v>3598.8117213077276</v>
      </c>
      <c r="X607" s="164">
        <f t="shared" si="575"/>
        <v>3598.8117213077276</v>
      </c>
      <c r="Y607" s="164">
        <f>Y223+SUMIFS(Y$27:Y$44,$J$27:$J$44,$G603,$K$27:$K$44,$G607)</f>
        <v>0</v>
      </c>
      <c r="Z607" s="164">
        <f t="shared" ref="Z607:AM607" si="576">Z223+SUMIFS(Z$27:Z$44,$J$27:$J$44,$G603,$K$27:$K$44,$G607)</f>
        <v>0</v>
      </c>
      <c r="AA607" s="164">
        <f t="shared" si="576"/>
        <v>0</v>
      </c>
      <c r="AB607" s="164">
        <f t="shared" si="576"/>
        <v>0</v>
      </c>
      <c r="AC607" s="164">
        <f t="shared" si="576"/>
        <v>0</v>
      </c>
      <c r="AD607" s="164">
        <f t="shared" si="576"/>
        <v>0</v>
      </c>
      <c r="AE607" s="164">
        <f t="shared" si="576"/>
        <v>0</v>
      </c>
      <c r="AF607" s="164">
        <f t="shared" si="576"/>
        <v>0</v>
      </c>
      <c r="AG607" s="164">
        <f t="shared" si="576"/>
        <v>0</v>
      </c>
      <c r="AH607" s="164">
        <f t="shared" si="576"/>
        <v>0</v>
      </c>
      <c r="AI607" s="164">
        <f t="shared" si="576"/>
        <v>0</v>
      </c>
      <c r="AJ607" s="164">
        <f t="shared" si="576"/>
        <v>0</v>
      </c>
      <c r="AK607" s="164">
        <f t="shared" si="576"/>
        <v>0</v>
      </c>
      <c r="AL607" s="164">
        <f t="shared" si="576"/>
        <v>0</v>
      </c>
      <c r="AM607" s="164">
        <f t="shared" si="576"/>
        <v>0</v>
      </c>
    </row>
    <row r="608" spans="1:39">
      <c r="A608" s="100"/>
      <c r="B608" s="100"/>
      <c r="C608" s="100"/>
      <c r="D608" s="179" t="str">
        <f t="shared" si="570"/>
        <v>Buildings</v>
      </c>
      <c r="E608" s="165" t="str">
        <f>H592</f>
        <v>Terminal International</v>
      </c>
      <c r="F608" s="165"/>
      <c r="G608" s="165" t="s">
        <v>88</v>
      </c>
      <c r="H608" s="121"/>
      <c r="I608" s="165"/>
      <c r="J608" s="165"/>
      <c r="K608" s="197"/>
      <c r="L608" s="197"/>
      <c r="M608" s="477"/>
      <c r="N608" s="230"/>
      <c r="O608" s="230">
        <f>N610*'Volume &amp; CPI forecast'!O$13</f>
        <v>755.75046147462285</v>
      </c>
      <c r="P608" s="230">
        <f>O610*'Volume &amp; CPI forecast'!P$13</f>
        <v>696.04617501812766</v>
      </c>
      <c r="Q608" s="230">
        <f>P610*'Volume &amp; CPI forecast'!Q$13</f>
        <v>633.56629014673513</v>
      </c>
      <c r="R608" s="230">
        <f>Q610*'Volume &amp; CPI forecast'!R$13</f>
        <v>569.78363848832953</v>
      </c>
      <c r="S608" s="230">
        <f>R610*'Volume &amp; CPI forecast'!S$13</f>
        <v>504.67109453985898</v>
      </c>
      <c r="T608" s="230">
        <f>S610*'Volume &amp; CPI forecast'!T$13</f>
        <v>521.67052747572495</v>
      </c>
      <c r="U608" s="230">
        <f>T610*'Volume &amp; CPI forecast'!U$13</f>
        <v>442.65130152044713</v>
      </c>
      <c r="V608" s="230">
        <f>U610*'Volume &amp; CPI forecast'!V$13</f>
        <v>361.68234413191772</v>
      </c>
      <c r="W608" s="230">
        <f>V610*'Volume &amp; CPI forecast'!W$13</f>
        <v>278.73127585352267</v>
      </c>
      <c r="X608" s="230">
        <f>W610*'Volume &amp; CPI forecast'!X$13</f>
        <v>193.77134769422167</v>
      </c>
      <c r="Y608" s="230">
        <f>X610*'Volume &amp; CPI forecast'!Y$13</f>
        <v>106.8005163291416</v>
      </c>
      <c r="Z608" s="230">
        <f>Y610*'Volume &amp; CPI forecast'!Z$13</f>
        <v>107.87209723153394</v>
      </c>
      <c r="AA608" s="230">
        <f>Z610*'Volume &amp; CPI forecast'!AA$13</f>
        <v>110.56889966232229</v>
      </c>
      <c r="AB608" s="230">
        <f>AA610*'Volume &amp; CPI forecast'!AB$13</f>
        <v>113.33312215388035</v>
      </c>
      <c r="AC608" s="230">
        <f>AB610*'Volume &amp; CPI forecast'!AC$13</f>
        <v>116.16645020772735</v>
      </c>
      <c r="AD608" s="230">
        <f>AC610*'Volume &amp; CPI forecast'!AD$13</f>
        <v>119.07061146292054</v>
      </c>
      <c r="AE608" s="230">
        <f>AD610*'Volume &amp; CPI forecast'!AE$13</f>
        <v>122.04737674949354</v>
      </c>
      <c r="AF608" s="230">
        <f>AE610*'Volume &amp; CPI forecast'!AF$13</f>
        <v>125.09856116823087</v>
      </c>
      <c r="AG608" s="230">
        <f>AF610*'Volume &amp; CPI forecast'!AG$13</f>
        <v>128.22602519743666</v>
      </c>
      <c r="AH608" s="230">
        <f>AG610*'Volume &amp; CPI forecast'!AH$13</f>
        <v>131.43167582737257</v>
      </c>
      <c r="AI608" s="230">
        <f>AH610*'Volume &amp; CPI forecast'!AI$13</f>
        <v>134.71746772305687</v>
      </c>
      <c r="AJ608" s="230">
        <f>AI610*'Volume &amp; CPI forecast'!AJ$13</f>
        <v>138.08540441613329</v>
      </c>
      <c r="AK608" s="230">
        <f>AJ610*'Volume &amp; CPI forecast'!AK$13</f>
        <v>0</v>
      </c>
      <c r="AL608" s="230">
        <f>AK610*'Volume &amp; CPI forecast'!AL$13</f>
        <v>0</v>
      </c>
      <c r="AM608" s="230">
        <f>AL610*'Volume &amp; CPI forecast'!AM$13</f>
        <v>0</v>
      </c>
    </row>
    <row r="609" spans="1:39">
      <c r="A609" s="100"/>
      <c r="B609" s="100"/>
      <c r="C609" s="100"/>
      <c r="D609" s="179" t="str">
        <f t="shared" si="570"/>
        <v>Buildings</v>
      </c>
      <c r="E609" s="165" t="str">
        <f>H592</f>
        <v>Terminal International</v>
      </c>
      <c r="F609" s="165"/>
      <c r="G609" s="165" t="s">
        <v>87</v>
      </c>
      <c r="H609" s="121"/>
      <c r="I609" s="165"/>
      <c r="J609" s="165"/>
      <c r="K609" s="197"/>
      <c r="L609" s="197"/>
      <c r="M609" s="477"/>
      <c r="N609" s="164"/>
      <c r="O609" s="164">
        <f t="shared" ref="O609:X609" si="577">IF(N605&gt;0,N607/AVERAGE(N605,N610)*O608,0)</f>
        <v>0</v>
      </c>
      <c r="P609" s="164">
        <f t="shared" si="577"/>
        <v>72.467066633849839</v>
      </c>
      <c r="Q609" s="164">
        <f t="shared" si="577"/>
        <v>72.023695429749111</v>
      </c>
      <c r="R609" s="164">
        <f t="shared" si="577"/>
        <v>71.569248060151821</v>
      </c>
      <c r="S609" s="164">
        <f t="shared" si="577"/>
        <v>70.995157053562934</v>
      </c>
      <c r="T609" s="164">
        <f t="shared" si="577"/>
        <v>83.627844379110556</v>
      </c>
      <c r="U609" s="164">
        <f t="shared" si="577"/>
        <v>82.59787575389575</v>
      </c>
      <c r="V609" s="164">
        <f t="shared" si="577"/>
        <v>80.913353959991326</v>
      </c>
      <c r="W609" s="164">
        <f t="shared" si="577"/>
        <v>78.316680917835583</v>
      </c>
      <c r="X609" s="164">
        <f t="shared" si="577"/>
        <v>73.792880989696371</v>
      </c>
      <c r="Y609" s="164">
        <f t="shared" ref="Y609:AM609" si="578">IF(X605&gt;0,X607/AVERAGE(X605,X610)*Y608,0)</f>
        <v>63.937280233448007</v>
      </c>
      <c r="Z609" s="164">
        <f t="shared" si="578"/>
        <v>0</v>
      </c>
      <c r="AA609" s="164">
        <f t="shared" si="578"/>
        <v>0</v>
      </c>
      <c r="AB609" s="164">
        <f t="shared" si="578"/>
        <v>0</v>
      </c>
      <c r="AC609" s="164">
        <f t="shared" si="578"/>
        <v>0</v>
      </c>
      <c r="AD609" s="164">
        <f t="shared" si="578"/>
        <v>0</v>
      </c>
      <c r="AE609" s="164">
        <f t="shared" si="578"/>
        <v>0</v>
      </c>
      <c r="AF609" s="164">
        <f t="shared" si="578"/>
        <v>0</v>
      </c>
      <c r="AG609" s="164">
        <f t="shared" si="578"/>
        <v>0</v>
      </c>
      <c r="AH609" s="164">
        <f t="shared" si="578"/>
        <v>0</v>
      </c>
      <c r="AI609" s="164">
        <f t="shared" si="578"/>
        <v>0</v>
      </c>
      <c r="AJ609" s="164">
        <f t="shared" si="578"/>
        <v>0</v>
      </c>
      <c r="AK609" s="164">
        <f t="shared" si="578"/>
        <v>0</v>
      </c>
      <c r="AL609" s="164">
        <f t="shared" si="578"/>
        <v>0</v>
      </c>
      <c r="AM609" s="164">
        <f t="shared" si="578"/>
        <v>0</v>
      </c>
    </row>
    <row r="610" spans="1:39">
      <c r="A610" s="100"/>
      <c r="B610" s="100"/>
      <c r="C610" s="100"/>
      <c r="D610" s="179" t="str">
        <f t="shared" si="570"/>
        <v>Buildings</v>
      </c>
      <c r="E610" s="165" t="str">
        <f>H592</f>
        <v>Terminal International</v>
      </c>
      <c r="F610" s="165"/>
      <c r="G610" s="200" t="s">
        <v>76</v>
      </c>
      <c r="H610" s="201"/>
      <c r="I610" s="200"/>
      <c r="J610" s="200"/>
      <c r="K610" s="199">
        <f>K225</f>
        <v>0</v>
      </c>
      <c r="L610" s="199">
        <f>L225</f>
        <v>0</v>
      </c>
      <c r="M610" s="527">
        <f>M225</f>
        <v>0</v>
      </c>
      <c r="N610" s="198">
        <f>N225</f>
        <v>35988.117213077276</v>
      </c>
      <c r="O610" s="198">
        <f t="shared" ref="O610:AM610" si="579">SUM(O605:O606,O608)-SUM(O607,O609)</f>
        <v>33145.055953244169</v>
      </c>
      <c r="P610" s="198">
        <f t="shared" si="579"/>
        <v>30169.82334032072</v>
      </c>
      <c r="Q610" s="198">
        <f t="shared" si="579"/>
        <v>27132.554213729978</v>
      </c>
      <c r="R610" s="198">
        <f t="shared" si="579"/>
        <v>24031.956882850427</v>
      </c>
      <c r="S610" s="198">
        <f t="shared" si="579"/>
        <v>20866.821099028995</v>
      </c>
      <c r="T610" s="198">
        <f t="shared" si="579"/>
        <v>17706.052060817885</v>
      </c>
      <c r="U610" s="198">
        <f t="shared" si="579"/>
        <v>14467.293765276709</v>
      </c>
      <c r="V610" s="198">
        <f t="shared" si="579"/>
        <v>11149.251034140907</v>
      </c>
      <c r="W610" s="198">
        <f t="shared" si="579"/>
        <v>7750.8539077688665</v>
      </c>
      <c r="X610" s="198">
        <f t="shared" si="579"/>
        <v>4272.020653165664</v>
      </c>
      <c r="Y610" s="198">
        <f t="shared" si="579"/>
        <v>4314.8838892613576</v>
      </c>
      <c r="Z610" s="198">
        <f t="shared" si="579"/>
        <v>4422.7559864928917</v>
      </c>
      <c r="AA610" s="198">
        <f t="shared" si="579"/>
        <v>4533.3248861552138</v>
      </c>
      <c r="AB610" s="198">
        <f t="shared" si="579"/>
        <v>4646.6580083090939</v>
      </c>
      <c r="AC610" s="198">
        <f t="shared" si="579"/>
        <v>4762.8244585168213</v>
      </c>
      <c r="AD610" s="198">
        <f t="shared" si="579"/>
        <v>4881.8950699797415</v>
      </c>
      <c r="AE610" s="198">
        <f t="shared" si="579"/>
        <v>5003.9424467292347</v>
      </c>
      <c r="AF610" s="198">
        <f t="shared" si="579"/>
        <v>5129.0410078974655</v>
      </c>
      <c r="AG610" s="198">
        <f t="shared" si="579"/>
        <v>5257.2670330949022</v>
      </c>
      <c r="AH610" s="198">
        <f t="shared" si="579"/>
        <v>5388.6987089222748</v>
      </c>
      <c r="AI610" s="198">
        <f t="shared" si="579"/>
        <v>5523.4161766453317</v>
      </c>
      <c r="AJ610" s="198">
        <f t="shared" si="579"/>
        <v>5661.501581061465</v>
      </c>
      <c r="AK610" s="198">
        <f t="shared" si="579"/>
        <v>5661.501581061465</v>
      </c>
      <c r="AL610" s="198">
        <f t="shared" si="579"/>
        <v>5661.501581061465</v>
      </c>
      <c r="AM610" s="198">
        <f t="shared" si="579"/>
        <v>5661.501581061465</v>
      </c>
    </row>
    <row r="611" spans="1:39">
      <c r="A611" s="100"/>
      <c r="B611" s="100"/>
      <c r="C611" s="100"/>
      <c r="D611" s="179"/>
      <c r="E611" s="165"/>
      <c r="F611" s="165"/>
      <c r="G611" s="205"/>
      <c r="H611" s="121"/>
      <c r="I611" s="165"/>
      <c r="J611" s="165"/>
      <c r="K611" s="204"/>
      <c r="L611" s="197"/>
      <c r="M611" s="477"/>
      <c r="N611" s="164"/>
      <c r="O611" s="164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  <c r="AA611" s="165"/>
      <c r="AB611" s="165"/>
      <c r="AC611" s="165"/>
      <c r="AD611" s="165"/>
      <c r="AE611" s="165"/>
      <c r="AF611" s="165"/>
      <c r="AG611" s="165"/>
      <c r="AH611" s="165"/>
      <c r="AI611" s="165"/>
      <c r="AJ611" s="165"/>
      <c r="AK611" s="165"/>
      <c r="AL611" s="165"/>
      <c r="AM611" s="165"/>
    </row>
    <row r="612" spans="1:39">
      <c r="A612" s="100"/>
      <c r="B612" s="100"/>
      <c r="C612" s="100"/>
      <c r="D612" s="179"/>
      <c r="E612" s="165"/>
      <c r="F612" s="165"/>
      <c r="G612" s="206" t="s">
        <v>36</v>
      </c>
      <c r="H612" s="121"/>
      <c r="I612" s="165"/>
      <c r="J612" s="165"/>
      <c r="K612" s="204"/>
      <c r="L612" s="197"/>
      <c r="M612" s="477"/>
      <c r="N612" s="164"/>
      <c r="O612" s="164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  <c r="AA612" s="165"/>
      <c r="AB612" s="165"/>
      <c r="AC612" s="165"/>
      <c r="AD612" s="165"/>
      <c r="AE612" s="165"/>
      <c r="AF612" s="165"/>
      <c r="AG612" s="165"/>
      <c r="AH612" s="165"/>
      <c r="AI612" s="165"/>
      <c r="AJ612" s="165"/>
      <c r="AK612" s="165"/>
      <c r="AL612" s="165"/>
      <c r="AM612" s="165"/>
    </row>
    <row r="613" spans="1:39">
      <c r="A613" s="100"/>
      <c r="B613" s="100"/>
      <c r="C613" s="100"/>
      <c r="D613" s="179"/>
      <c r="E613" s="165"/>
      <c r="F613" s="165"/>
      <c r="G613" s="205"/>
      <c r="H613" s="121"/>
      <c r="I613" s="165"/>
      <c r="J613" s="165"/>
      <c r="K613" s="204"/>
      <c r="L613" s="197"/>
      <c r="M613" s="477"/>
      <c r="N613" s="164"/>
      <c r="O613" s="164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  <c r="AA613" s="165"/>
      <c r="AB613" s="165"/>
      <c r="AC613" s="165"/>
      <c r="AD613" s="165"/>
      <c r="AE613" s="165"/>
      <c r="AF613" s="165"/>
      <c r="AG613" s="165"/>
      <c r="AH613" s="165"/>
      <c r="AI613" s="165"/>
      <c r="AJ613" s="165"/>
      <c r="AK613" s="165"/>
      <c r="AL613" s="165"/>
      <c r="AM613" s="165"/>
    </row>
    <row r="614" spans="1:39">
      <c r="A614" s="100"/>
      <c r="B614" s="100"/>
      <c r="C614" s="100"/>
      <c r="D614" s="179" t="str">
        <f t="shared" ref="D614:D619" si="580">$G$518</f>
        <v>Computers &amp; Furniture</v>
      </c>
      <c r="E614" s="165" t="str">
        <f>H592</f>
        <v>Terminal International</v>
      </c>
      <c r="F614" s="165"/>
      <c r="G614" s="165" t="s">
        <v>80</v>
      </c>
      <c r="H614" s="121"/>
      <c r="I614" s="165"/>
      <c r="J614" s="165"/>
      <c r="K614" s="530">
        <f>K619</f>
        <v>0</v>
      </c>
      <c r="L614" s="530">
        <f>L619</f>
        <v>0</v>
      </c>
      <c r="M614" s="531"/>
      <c r="N614" s="164"/>
      <c r="O614" s="164">
        <f t="shared" ref="O614:Y614" si="581">N619</f>
        <v>270337.36175554444</v>
      </c>
      <c r="P614" s="164">
        <f t="shared" si="581"/>
        <v>374943.41680594225</v>
      </c>
      <c r="Q614" s="164">
        <f t="shared" si="581"/>
        <v>404653.61647200066</v>
      </c>
      <c r="R614" s="164">
        <f t="shared" si="581"/>
        <v>436397.70019080723</v>
      </c>
      <c r="S614" s="164">
        <f t="shared" si="581"/>
        <v>337880.76464630279</v>
      </c>
      <c r="T614" s="164">
        <f t="shared" si="581"/>
        <v>335491.54965484753</v>
      </c>
      <c r="U614" s="164">
        <f t="shared" si="581"/>
        <v>215010.88075363042</v>
      </c>
      <c r="V614" s="164">
        <f t="shared" si="581"/>
        <v>135255.93049990351</v>
      </c>
      <c r="W614" s="164">
        <f t="shared" si="581"/>
        <v>89731.546243068995</v>
      </c>
      <c r="X614" s="164">
        <f t="shared" si="581"/>
        <v>62970.671874205073</v>
      </c>
      <c r="Y614" s="164">
        <f t="shared" si="581"/>
        <v>46968.445155194466</v>
      </c>
      <c r="Z614" s="164">
        <f t="shared" ref="Z614:AM614" si="582">Y619</f>
        <v>32306.872151066775</v>
      </c>
      <c r="AA614" s="164">
        <f t="shared" si="582"/>
        <v>19241.846998732213</v>
      </c>
      <c r="AB614" s="164">
        <f t="shared" si="582"/>
        <v>9120.5340836785508</v>
      </c>
      <c r="AC614" s="164">
        <f t="shared" si="582"/>
        <v>-2.1827872842550278E-11</v>
      </c>
      <c r="AD614" s="164">
        <f t="shared" si="582"/>
        <v>-2.1827872842550278E-11</v>
      </c>
      <c r="AE614" s="164">
        <f t="shared" si="582"/>
        <v>-2.1827872842550278E-11</v>
      </c>
      <c r="AF614" s="164">
        <f t="shared" si="582"/>
        <v>-2.1827872842550278E-11</v>
      </c>
      <c r="AG614" s="164">
        <f t="shared" si="582"/>
        <v>-2.1827872842550278E-11</v>
      </c>
      <c r="AH614" s="164">
        <f t="shared" si="582"/>
        <v>-2.1827872842550278E-11</v>
      </c>
      <c r="AI614" s="164">
        <f t="shared" si="582"/>
        <v>-2.1827872842550278E-11</v>
      </c>
      <c r="AJ614" s="164">
        <f t="shared" si="582"/>
        <v>-2.1827872842550278E-11</v>
      </c>
      <c r="AK614" s="164">
        <f t="shared" si="582"/>
        <v>-2.1827872842550278E-11</v>
      </c>
      <c r="AL614" s="164">
        <f t="shared" si="582"/>
        <v>-2.1827872842550278E-11</v>
      </c>
      <c r="AM614" s="164">
        <f t="shared" si="582"/>
        <v>-2.1827872842550278E-11</v>
      </c>
    </row>
    <row r="615" spans="1:39">
      <c r="A615" s="100"/>
      <c r="B615" s="100"/>
      <c r="C615" s="100"/>
      <c r="D615" s="179" t="str">
        <f t="shared" si="580"/>
        <v>Computers &amp; Furniture</v>
      </c>
      <c r="E615" s="165" t="str">
        <f>H592</f>
        <v>Terminal International</v>
      </c>
      <c r="F615" s="165"/>
      <c r="G615" s="165" t="s">
        <v>83</v>
      </c>
      <c r="H615" s="121"/>
      <c r="I615" s="165"/>
      <c r="J615" s="165"/>
      <c r="K615" s="532"/>
      <c r="L615" s="532"/>
      <c r="M615" s="533"/>
      <c r="N615" s="164"/>
      <c r="O615" s="164">
        <f t="shared" ref="O615:X615" si="583">SUMIFS(O$27:O$44,$J$27:$J$44,$G612,$K$27:$K$44,$G615)</f>
        <v>200680.81026088522</v>
      </c>
      <c r="P615" s="164">
        <f t="shared" si="583"/>
        <v>161056.99274168845</v>
      </c>
      <c r="Q615" s="164">
        <f t="shared" si="583"/>
        <v>207767.99681572741</v>
      </c>
      <c r="R615" s="164">
        <f t="shared" si="583"/>
        <v>101341.07907380493</v>
      </c>
      <c r="S615" s="164">
        <f t="shared" si="583"/>
        <v>220052.61863793465</v>
      </c>
      <c r="T615" s="164">
        <f t="shared" si="583"/>
        <v>0</v>
      </c>
      <c r="U615" s="164">
        <f t="shared" si="583"/>
        <v>0</v>
      </c>
      <c r="V615" s="164">
        <f t="shared" si="583"/>
        <v>0</v>
      </c>
      <c r="W615" s="164">
        <f t="shared" si="583"/>
        <v>0</v>
      </c>
      <c r="X615" s="164">
        <f t="shared" si="583"/>
        <v>0</v>
      </c>
      <c r="Y615" s="164">
        <f>SUMIFS(Y$27:Y$44,$J$27:$J$44,$G612,$K$27:$K$44,$G615)</f>
        <v>0</v>
      </c>
      <c r="Z615" s="164">
        <f t="shared" ref="Z615:AM615" si="584">SUMIFS(Z$27:Z$44,$J$27:$J$44,$G612,$K$27:$K$44,$G615)</f>
        <v>0</v>
      </c>
      <c r="AA615" s="164">
        <f t="shared" si="584"/>
        <v>0</v>
      </c>
      <c r="AB615" s="164">
        <f t="shared" si="584"/>
        <v>0</v>
      </c>
      <c r="AC615" s="164">
        <f t="shared" si="584"/>
        <v>0</v>
      </c>
      <c r="AD615" s="164">
        <f t="shared" si="584"/>
        <v>0</v>
      </c>
      <c r="AE615" s="164">
        <f t="shared" si="584"/>
        <v>0</v>
      </c>
      <c r="AF615" s="164">
        <f t="shared" si="584"/>
        <v>0</v>
      </c>
      <c r="AG615" s="164">
        <f t="shared" si="584"/>
        <v>0</v>
      </c>
      <c r="AH615" s="164">
        <f t="shared" si="584"/>
        <v>0</v>
      </c>
      <c r="AI615" s="164">
        <f t="shared" si="584"/>
        <v>0</v>
      </c>
      <c r="AJ615" s="164">
        <f t="shared" si="584"/>
        <v>0</v>
      </c>
      <c r="AK615" s="164">
        <f t="shared" si="584"/>
        <v>0</v>
      </c>
      <c r="AL615" s="164">
        <f t="shared" si="584"/>
        <v>0</v>
      </c>
      <c r="AM615" s="164">
        <f t="shared" si="584"/>
        <v>0</v>
      </c>
    </row>
    <row r="616" spans="1:39">
      <c r="A616" s="100"/>
      <c r="B616" s="100"/>
      <c r="C616" s="100"/>
      <c r="D616" s="179" t="str">
        <f t="shared" si="580"/>
        <v>Computers &amp; Furniture</v>
      </c>
      <c r="E616" s="165" t="str">
        <f>H592</f>
        <v>Terminal International</v>
      </c>
      <c r="F616" s="165"/>
      <c r="G616" s="165" t="s">
        <v>78</v>
      </c>
      <c r="H616" s="121"/>
      <c r="I616" s="165"/>
      <c r="J616" s="165"/>
      <c r="K616" s="197"/>
      <c r="L616" s="197"/>
      <c r="M616" s="477"/>
      <c r="N616" s="164"/>
      <c r="O616" s="164">
        <f t="shared" ref="O616:X616" si="585">O232+SUMIFS(O$27:O$44,$J$27:$J$44,$G612,$K$27:$K$44,$G616)</f>
        <v>96074.75521048739</v>
      </c>
      <c r="P616" s="164">
        <f t="shared" si="585"/>
        <v>131346.79307563003</v>
      </c>
      <c r="Q616" s="164">
        <f t="shared" si="585"/>
        <v>176023.91309692079</v>
      </c>
      <c r="R616" s="164">
        <f t="shared" si="585"/>
        <v>199858.01461830936</v>
      </c>
      <c r="S616" s="164">
        <f t="shared" si="585"/>
        <v>222441.83362938993</v>
      </c>
      <c r="T616" s="164">
        <f t="shared" si="585"/>
        <v>120480.66890121711</v>
      </c>
      <c r="U616" s="164">
        <f t="shared" si="585"/>
        <v>79754.9502537269</v>
      </c>
      <c r="V616" s="164">
        <f t="shared" si="585"/>
        <v>45524.384256834514</v>
      </c>
      <c r="W616" s="164">
        <f t="shared" si="585"/>
        <v>26760.874368863926</v>
      </c>
      <c r="X616" s="164">
        <f t="shared" si="585"/>
        <v>16002.22671901061</v>
      </c>
      <c r="Y616" s="164">
        <f>Y232+SUMIFS(Y$27:Y$44,$J$27:$J$44,$G612,$K$27:$K$44,$G616)</f>
        <v>14661.573004127691</v>
      </c>
      <c r="Z616" s="164">
        <f t="shared" ref="Z616:AM616" si="586">Z232+SUMIFS(Z$27:Z$44,$J$27:$J$44,$G612,$K$27:$K$44,$G616)</f>
        <v>13065.025152334561</v>
      </c>
      <c r="AA616" s="164">
        <f t="shared" si="586"/>
        <v>10121.312915053662</v>
      </c>
      <c r="AB616" s="164">
        <f t="shared" si="586"/>
        <v>9120.5340836785726</v>
      </c>
      <c r="AC616" s="164">
        <f t="shared" si="586"/>
        <v>0</v>
      </c>
      <c r="AD616" s="164">
        <f t="shared" si="586"/>
        <v>0</v>
      </c>
      <c r="AE616" s="164">
        <f t="shared" si="586"/>
        <v>0</v>
      </c>
      <c r="AF616" s="164">
        <f t="shared" si="586"/>
        <v>0</v>
      </c>
      <c r="AG616" s="164">
        <f t="shared" si="586"/>
        <v>0</v>
      </c>
      <c r="AH616" s="164">
        <f t="shared" si="586"/>
        <v>0</v>
      </c>
      <c r="AI616" s="164">
        <f t="shared" si="586"/>
        <v>0</v>
      </c>
      <c r="AJ616" s="164">
        <f t="shared" si="586"/>
        <v>0</v>
      </c>
      <c r="AK616" s="164">
        <f t="shared" si="586"/>
        <v>0</v>
      </c>
      <c r="AL616" s="164">
        <f t="shared" si="586"/>
        <v>0</v>
      </c>
      <c r="AM616" s="164">
        <f t="shared" si="586"/>
        <v>0</v>
      </c>
    </row>
    <row r="617" spans="1:39">
      <c r="A617" s="100"/>
      <c r="B617" s="100"/>
      <c r="C617" s="100"/>
      <c r="D617" s="179" t="str">
        <f t="shared" si="580"/>
        <v>Computers &amp; Furniture</v>
      </c>
      <c r="E617" s="165" t="str">
        <f>H592</f>
        <v>Terminal International</v>
      </c>
      <c r="F617" s="165"/>
      <c r="G617" s="165" t="s">
        <v>88</v>
      </c>
      <c r="H617" s="121"/>
      <c r="I617" s="165"/>
      <c r="J617" s="165"/>
      <c r="K617" s="197"/>
      <c r="L617" s="197"/>
      <c r="M617" s="477"/>
      <c r="N617" s="230"/>
      <c r="O617" s="230"/>
      <c r="P617" s="230"/>
      <c r="Q617" s="230"/>
      <c r="R617" s="230"/>
      <c r="S617" s="230"/>
      <c r="T617" s="230"/>
      <c r="U617" s="230"/>
      <c r="V617" s="230"/>
      <c r="W617" s="230"/>
      <c r="X617" s="230"/>
      <c r="Y617" s="230"/>
      <c r="Z617" s="230"/>
      <c r="AA617" s="230"/>
      <c r="AB617" s="230"/>
      <c r="AC617" s="230"/>
      <c r="AD617" s="230"/>
      <c r="AE617" s="230"/>
      <c r="AF617" s="230"/>
      <c r="AG617" s="230"/>
      <c r="AH617" s="230"/>
      <c r="AI617" s="230"/>
      <c r="AJ617" s="230"/>
      <c r="AK617" s="230"/>
      <c r="AL617" s="230"/>
      <c r="AM617" s="230"/>
    </row>
    <row r="618" spans="1:39">
      <c r="A618" s="100"/>
      <c r="B618" s="100"/>
      <c r="C618" s="100"/>
      <c r="D618" s="179" t="str">
        <f t="shared" si="580"/>
        <v>Computers &amp; Furniture</v>
      </c>
      <c r="E618" s="165" t="str">
        <f>H592</f>
        <v>Terminal International</v>
      </c>
      <c r="F618" s="165"/>
      <c r="G618" s="165" t="s">
        <v>87</v>
      </c>
      <c r="H618" s="121"/>
      <c r="I618" s="165"/>
      <c r="J618" s="165"/>
      <c r="K618" s="197"/>
      <c r="L618" s="197"/>
      <c r="M618" s="477"/>
      <c r="N618" s="164"/>
      <c r="O618" s="164">
        <f t="shared" ref="O618:X618" si="587">IF(N614&gt;0,N616/AVERAGE(N614,N619)*O617,0)</f>
        <v>0</v>
      </c>
      <c r="P618" s="164">
        <f t="shared" si="587"/>
        <v>0</v>
      </c>
      <c r="Q618" s="164">
        <f t="shared" si="587"/>
        <v>0</v>
      </c>
      <c r="R618" s="164">
        <f t="shared" si="587"/>
        <v>0</v>
      </c>
      <c r="S618" s="164">
        <f t="shared" si="587"/>
        <v>0</v>
      </c>
      <c r="T618" s="164">
        <f t="shared" si="587"/>
        <v>0</v>
      </c>
      <c r="U618" s="164">
        <f t="shared" si="587"/>
        <v>0</v>
      </c>
      <c r="V618" s="164">
        <f t="shared" si="587"/>
        <v>0</v>
      </c>
      <c r="W618" s="164">
        <f t="shared" si="587"/>
        <v>0</v>
      </c>
      <c r="X618" s="164">
        <f t="shared" si="587"/>
        <v>0</v>
      </c>
      <c r="Y618" s="164">
        <f t="shared" ref="Y618:AM618" si="588">IF(X614&gt;0,X616/AVERAGE(X614,X619)*Y617,0)</f>
        <v>0</v>
      </c>
      <c r="Z618" s="164">
        <f t="shared" si="588"/>
        <v>0</v>
      </c>
      <c r="AA618" s="164">
        <f t="shared" si="588"/>
        <v>0</v>
      </c>
      <c r="AB618" s="164">
        <f t="shared" si="588"/>
        <v>0</v>
      </c>
      <c r="AC618" s="164">
        <f t="shared" si="588"/>
        <v>0</v>
      </c>
      <c r="AD618" s="164">
        <f t="shared" si="588"/>
        <v>0</v>
      </c>
      <c r="AE618" s="164">
        <f t="shared" si="588"/>
        <v>0</v>
      </c>
      <c r="AF618" s="164">
        <f t="shared" si="588"/>
        <v>0</v>
      </c>
      <c r="AG618" s="164">
        <f t="shared" si="588"/>
        <v>0</v>
      </c>
      <c r="AH618" s="164">
        <f t="shared" si="588"/>
        <v>0</v>
      </c>
      <c r="AI618" s="164">
        <f t="shared" si="588"/>
        <v>0</v>
      </c>
      <c r="AJ618" s="164">
        <f t="shared" si="588"/>
        <v>0</v>
      </c>
      <c r="AK618" s="164">
        <f t="shared" si="588"/>
        <v>0</v>
      </c>
      <c r="AL618" s="164">
        <f t="shared" si="588"/>
        <v>0</v>
      </c>
      <c r="AM618" s="164">
        <f t="shared" si="588"/>
        <v>0</v>
      </c>
    </row>
    <row r="619" spans="1:39">
      <c r="A619" s="100"/>
      <c r="B619" s="100"/>
      <c r="C619" s="100"/>
      <c r="D619" s="179" t="str">
        <f t="shared" si="580"/>
        <v>Computers &amp; Furniture</v>
      </c>
      <c r="E619" s="165" t="str">
        <f>H592</f>
        <v>Terminal International</v>
      </c>
      <c r="F619" s="165"/>
      <c r="G619" s="200" t="s">
        <v>76</v>
      </c>
      <c r="H619" s="201"/>
      <c r="I619" s="200"/>
      <c r="J619" s="200"/>
      <c r="K619" s="199">
        <f>K234</f>
        <v>0</v>
      </c>
      <c r="L619" s="199">
        <f>L234</f>
        <v>0</v>
      </c>
      <c r="M619" s="527">
        <f>M234</f>
        <v>0</v>
      </c>
      <c r="N619" s="198">
        <f>N234</f>
        <v>270337.36175554444</v>
      </c>
      <c r="O619" s="198">
        <f t="shared" ref="O619:AM619" si="589">SUM(O614:O615,O617)-SUM(O616,O618)</f>
        <v>374943.41680594225</v>
      </c>
      <c r="P619" s="198">
        <f t="shared" si="589"/>
        <v>404653.61647200066</v>
      </c>
      <c r="Q619" s="198">
        <f t="shared" si="589"/>
        <v>436397.70019080723</v>
      </c>
      <c r="R619" s="198">
        <f t="shared" si="589"/>
        <v>337880.76464630279</v>
      </c>
      <c r="S619" s="198">
        <f t="shared" si="589"/>
        <v>335491.54965484753</v>
      </c>
      <c r="T619" s="198">
        <f t="shared" si="589"/>
        <v>215010.88075363042</v>
      </c>
      <c r="U619" s="198">
        <f t="shared" si="589"/>
        <v>135255.93049990351</v>
      </c>
      <c r="V619" s="198">
        <f t="shared" si="589"/>
        <v>89731.546243068995</v>
      </c>
      <c r="W619" s="198">
        <f t="shared" si="589"/>
        <v>62970.671874205073</v>
      </c>
      <c r="X619" s="198">
        <f t="shared" si="589"/>
        <v>46968.445155194466</v>
      </c>
      <c r="Y619" s="198">
        <f t="shared" si="589"/>
        <v>32306.872151066775</v>
      </c>
      <c r="Z619" s="198">
        <f t="shared" si="589"/>
        <v>19241.846998732213</v>
      </c>
      <c r="AA619" s="198">
        <f t="shared" si="589"/>
        <v>9120.5340836785508</v>
      </c>
      <c r="AB619" s="198">
        <f t="shared" si="589"/>
        <v>-2.1827872842550278E-11</v>
      </c>
      <c r="AC619" s="198">
        <f t="shared" si="589"/>
        <v>-2.1827872842550278E-11</v>
      </c>
      <c r="AD619" s="198">
        <f t="shared" si="589"/>
        <v>-2.1827872842550278E-11</v>
      </c>
      <c r="AE619" s="198">
        <f t="shared" si="589"/>
        <v>-2.1827872842550278E-11</v>
      </c>
      <c r="AF619" s="198">
        <f t="shared" si="589"/>
        <v>-2.1827872842550278E-11</v>
      </c>
      <c r="AG619" s="198">
        <f t="shared" si="589"/>
        <v>-2.1827872842550278E-11</v>
      </c>
      <c r="AH619" s="198">
        <f t="shared" si="589"/>
        <v>-2.1827872842550278E-11</v>
      </c>
      <c r="AI619" s="198">
        <f t="shared" si="589"/>
        <v>-2.1827872842550278E-11</v>
      </c>
      <c r="AJ619" s="198">
        <f t="shared" si="589"/>
        <v>-2.1827872842550278E-11</v>
      </c>
      <c r="AK619" s="198">
        <f t="shared" si="589"/>
        <v>-2.1827872842550278E-11</v>
      </c>
      <c r="AL619" s="198">
        <f t="shared" si="589"/>
        <v>-2.1827872842550278E-11</v>
      </c>
      <c r="AM619" s="198">
        <f t="shared" si="589"/>
        <v>-2.1827872842550278E-11</v>
      </c>
    </row>
    <row r="620" spans="1:39">
      <c r="A620" s="100"/>
      <c r="B620" s="100"/>
      <c r="C620" s="100"/>
      <c r="D620" s="179"/>
      <c r="E620" s="165"/>
      <c r="F620" s="165"/>
      <c r="G620" s="205"/>
      <c r="H620" s="121"/>
      <c r="I620" s="165"/>
      <c r="J620" s="165"/>
      <c r="K620" s="204"/>
      <c r="L620" s="197"/>
      <c r="M620" s="477"/>
      <c r="N620" s="164"/>
      <c r="O620" s="164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  <c r="AA620" s="165"/>
      <c r="AB620" s="165"/>
      <c r="AC620" s="165"/>
      <c r="AD620" s="165"/>
      <c r="AE620" s="165"/>
      <c r="AF620" s="165"/>
      <c r="AG620" s="165"/>
      <c r="AH620" s="165"/>
      <c r="AI620" s="165"/>
      <c r="AJ620" s="165"/>
      <c r="AK620" s="165"/>
      <c r="AL620" s="165"/>
      <c r="AM620" s="165"/>
    </row>
    <row r="621" spans="1:39">
      <c r="A621" s="100"/>
      <c r="B621" s="100"/>
      <c r="C621" s="100"/>
      <c r="D621" s="179"/>
      <c r="E621" s="165"/>
      <c r="F621" s="165"/>
      <c r="G621" s="206" t="s">
        <v>35</v>
      </c>
      <c r="H621" s="121"/>
      <c r="I621" s="165"/>
      <c r="J621" s="165"/>
      <c r="K621" s="204"/>
      <c r="L621" s="197"/>
      <c r="M621" s="477"/>
      <c r="N621" s="164"/>
      <c r="O621" s="164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  <c r="AA621" s="165"/>
      <c r="AB621" s="165"/>
      <c r="AC621" s="165"/>
      <c r="AD621" s="165"/>
      <c r="AE621" s="165"/>
      <c r="AF621" s="165"/>
      <c r="AG621" s="165"/>
      <c r="AH621" s="165"/>
      <c r="AI621" s="165"/>
      <c r="AJ621" s="165"/>
      <c r="AK621" s="165"/>
      <c r="AL621" s="165"/>
      <c r="AM621" s="165"/>
    </row>
    <row r="622" spans="1:39">
      <c r="A622" s="100"/>
      <c r="B622" s="100"/>
      <c r="C622" s="100"/>
      <c r="D622" s="179"/>
      <c r="E622" s="165"/>
      <c r="F622" s="165"/>
      <c r="G622" s="205"/>
      <c r="H622" s="121"/>
      <c r="I622" s="165"/>
      <c r="J622" s="165"/>
      <c r="K622" s="204"/>
      <c r="L622" s="197"/>
      <c r="M622" s="477"/>
      <c r="N622" s="164"/>
      <c r="O622" s="164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  <c r="AG622" s="165"/>
      <c r="AH622" s="165"/>
      <c r="AI622" s="165"/>
      <c r="AJ622" s="165"/>
      <c r="AK622" s="165"/>
      <c r="AL622" s="165"/>
      <c r="AM622" s="165"/>
    </row>
    <row r="623" spans="1:39">
      <c r="A623" s="100"/>
      <c r="B623" s="100"/>
      <c r="C623" s="100"/>
      <c r="D623" s="179" t="str">
        <f t="shared" ref="D623:D628" si="590">$G$527</f>
        <v>Motor vehicles</v>
      </c>
      <c r="E623" s="165" t="str">
        <f>H592</f>
        <v>Terminal International</v>
      </c>
      <c r="F623" s="165"/>
      <c r="G623" s="165" t="s">
        <v>80</v>
      </c>
      <c r="H623" s="121"/>
      <c r="I623" s="165"/>
      <c r="J623" s="165"/>
      <c r="K623" s="530">
        <f>K628</f>
        <v>0</v>
      </c>
      <c r="L623" s="530">
        <f>L628</f>
        <v>0</v>
      </c>
      <c r="M623" s="531"/>
      <c r="N623" s="164"/>
      <c r="O623" s="164">
        <f t="shared" ref="O623:Y623" si="591">N628</f>
        <v>0</v>
      </c>
      <c r="P623" s="164">
        <f t="shared" si="591"/>
        <v>0</v>
      </c>
      <c r="Q623" s="164">
        <f t="shared" si="591"/>
        <v>0</v>
      </c>
      <c r="R623" s="164">
        <f t="shared" si="591"/>
        <v>0</v>
      </c>
      <c r="S623" s="164">
        <f t="shared" si="591"/>
        <v>0</v>
      </c>
      <c r="T623" s="164">
        <f t="shared" si="591"/>
        <v>0</v>
      </c>
      <c r="U623" s="164">
        <f t="shared" si="591"/>
        <v>0</v>
      </c>
      <c r="V623" s="164">
        <f t="shared" si="591"/>
        <v>0</v>
      </c>
      <c r="W623" s="164">
        <f t="shared" si="591"/>
        <v>0</v>
      </c>
      <c r="X623" s="164">
        <f t="shared" si="591"/>
        <v>0</v>
      </c>
      <c r="Y623" s="164">
        <f t="shared" si="591"/>
        <v>0</v>
      </c>
      <c r="Z623" s="164">
        <f t="shared" ref="Z623:AM623" si="592">Y628</f>
        <v>0</v>
      </c>
      <c r="AA623" s="164">
        <f t="shared" si="592"/>
        <v>0</v>
      </c>
      <c r="AB623" s="164">
        <f t="shared" si="592"/>
        <v>0</v>
      </c>
      <c r="AC623" s="164">
        <f t="shared" si="592"/>
        <v>0</v>
      </c>
      <c r="AD623" s="164">
        <f t="shared" si="592"/>
        <v>0</v>
      </c>
      <c r="AE623" s="164">
        <f t="shared" si="592"/>
        <v>0</v>
      </c>
      <c r="AF623" s="164">
        <f t="shared" si="592"/>
        <v>0</v>
      </c>
      <c r="AG623" s="164">
        <f t="shared" si="592"/>
        <v>0</v>
      </c>
      <c r="AH623" s="164">
        <f t="shared" si="592"/>
        <v>0</v>
      </c>
      <c r="AI623" s="164">
        <f t="shared" si="592"/>
        <v>0</v>
      </c>
      <c r="AJ623" s="164">
        <f t="shared" si="592"/>
        <v>0</v>
      </c>
      <c r="AK623" s="164">
        <f t="shared" si="592"/>
        <v>0</v>
      </c>
      <c r="AL623" s="164">
        <f t="shared" si="592"/>
        <v>0</v>
      </c>
      <c r="AM623" s="164">
        <f t="shared" si="592"/>
        <v>0</v>
      </c>
    </row>
    <row r="624" spans="1:39">
      <c r="A624" s="100"/>
      <c r="B624" s="100"/>
      <c r="C624" s="100"/>
      <c r="D624" s="179" t="str">
        <f t="shared" si="590"/>
        <v>Motor vehicles</v>
      </c>
      <c r="E624" s="165" t="str">
        <f>H592</f>
        <v>Terminal International</v>
      </c>
      <c r="F624" s="165"/>
      <c r="G624" s="165" t="s">
        <v>83</v>
      </c>
      <c r="H624" s="121"/>
      <c r="I624" s="165"/>
      <c r="J624" s="165"/>
      <c r="K624" s="532"/>
      <c r="L624" s="532"/>
      <c r="M624" s="533"/>
      <c r="N624" s="164"/>
      <c r="O624" s="164">
        <f t="shared" ref="O624:X624" si="593">SUMIFS(O$27:O$44,$J$27:$J$44,$G621,$K$27:$K$44,$G624)</f>
        <v>0</v>
      </c>
      <c r="P624" s="164">
        <f t="shared" si="593"/>
        <v>0</v>
      </c>
      <c r="Q624" s="164">
        <f t="shared" si="593"/>
        <v>0</v>
      </c>
      <c r="R624" s="164">
        <f t="shared" si="593"/>
        <v>0</v>
      </c>
      <c r="S624" s="164">
        <f t="shared" si="593"/>
        <v>0</v>
      </c>
      <c r="T624" s="164">
        <f t="shared" si="593"/>
        <v>0</v>
      </c>
      <c r="U624" s="164">
        <f t="shared" si="593"/>
        <v>0</v>
      </c>
      <c r="V624" s="164">
        <f t="shared" si="593"/>
        <v>0</v>
      </c>
      <c r="W624" s="164">
        <f t="shared" si="593"/>
        <v>0</v>
      </c>
      <c r="X624" s="164">
        <f t="shared" si="593"/>
        <v>0</v>
      </c>
      <c r="Y624" s="164">
        <f>SUMIFS(Y$27:Y$44,$J$27:$J$44,$G621,$K$27:$K$44,$G624)</f>
        <v>0</v>
      </c>
      <c r="Z624" s="164">
        <f t="shared" ref="Z624:AM624" si="594">SUMIFS(Z$27:Z$44,$J$27:$J$44,$G621,$K$27:$K$44,$G624)</f>
        <v>0</v>
      </c>
      <c r="AA624" s="164">
        <f t="shared" si="594"/>
        <v>0</v>
      </c>
      <c r="AB624" s="164">
        <f t="shared" si="594"/>
        <v>0</v>
      </c>
      <c r="AC624" s="164">
        <f t="shared" si="594"/>
        <v>0</v>
      </c>
      <c r="AD624" s="164">
        <f t="shared" si="594"/>
        <v>0</v>
      </c>
      <c r="AE624" s="164">
        <f t="shared" si="594"/>
        <v>0</v>
      </c>
      <c r="AF624" s="164">
        <f t="shared" si="594"/>
        <v>0</v>
      </c>
      <c r="AG624" s="164">
        <f t="shared" si="594"/>
        <v>0</v>
      </c>
      <c r="AH624" s="164">
        <f t="shared" si="594"/>
        <v>0</v>
      </c>
      <c r="AI624" s="164">
        <f t="shared" si="594"/>
        <v>0</v>
      </c>
      <c r="AJ624" s="164">
        <f t="shared" si="594"/>
        <v>0</v>
      </c>
      <c r="AK624" s="164">
        <f t="shared" si="594"/>
        <v>0</v>
      </c>
      <c r="AL624" s="164">
        <f t="shared" si="594"/>
        <v>0</v>
      </c>
      <c r="AM624" s="164">
        <f t="shared" si="594"/>
        <v>0</v>
      </c>
    </row>
    <row r="625" spans="1:39">
      <c r="A625" s="100"/>
      <c r="B625" s="100"/>
      <c r="C625" s="100"/>
      <c r="D625" s="179" t="str">
        <f t="shared" si="590"/>
        <v>Motor vehicles</v>
      </c>
      <c r="E625" s="165" t="str">
        <f>H592</f>
        <v>Terminal International</v>
      </c>
      <c r="F625" s="165"/>
      <c r="G625" s="165" t="s">
        <v>78</v>
      </c>
      <c r="H625" s="121"/>
      <c r="I625" s="165"/>
      <c r="J625" s="165"/>
      <c r="K625" s="197"/>
      <c r="L625" s="197"/>
      <c r="M625" s="477"/>
      <c r="N625" s="164"/>
      <c r="O625" s="164">
        <f t="shared" ref="O625:X625" si="595">O241+SUMIFS(O$27:O$44,$J$27:$J$44,$G621,$K$27:$K$44,$G625)</f>
        <v>0</v>
      </c>
      <c r="P625" s="164">
        <f t="shared" si="595"/>
        <v>0</v>
      </c>
      <c r="Q625" s="164">
        <f t="shared" si="595"/>
        <v>0</v>
      </c>
      <c r="R625" s="164">
        <f t="shared" si="595"/>
        <v>0</v>
      </c>
      <c r="S625" s="164">
        <f t="shared" si="595"/>
        <v>0</v>
      </c>
      <c r="T625" s="164">
        <f t="shared" si="595"/>
        <v>0</v>
      </c>
      <c r="U625" s="164">
        <f t="shared" si="595"/>
        <v>0</v>
      </c>
      <c r="V625" s="164">
        <f t="shared" si="595"/>
        <v>0</v>
      </c>
      <c r="W625" s="164">
        <f t="shared" si="595"/>
        <v>0</v>
      </c>
      <c r="X625" s="164">
        <f t="shared" si="595"/>
        <v>0</v>
      </c>
      <c r="Y625" s="164">
        <f>Y241+SUMIFS(Y$27:Y$44,$J$27:$J$44,$G621,$K$27:$K$44,$G625)</f>
        <v>0</v>
      </c>
      <c r="Z625" s="164">
        <f t="shared" ref="Z625:AM625" si="596">Z241+SUMIFS(Z$27:Z$44,$J$27:$J$44,$G621,$K$27:$K$44,$G625)</f>
        <v>0</v>
      </c>
      <c r="AA625" s="164">
        <f t="shared" si="596"/>
        <v>0</v>
      </c>
      <c r="AB625" s="164">
        <f t="shared" si="596"/>
        <v>0</v>
      </c>
      <c r="AC625" s="164">
        <f t="shared" si="596"/>
        <v>0</v>
      </c>
      <c r="AD625" s="164">
        <f t="shared" si="596"/>
        <v>0</v>
      </c>
      <c r="AE625" s="164">
        <f t="shared" si="596"/>
        <v>0</v>
      </c>
      <c r="AF625" s="164">
        <f t="shared" si="596"/>
        <v>0</v>
      </c>
      <c r="AG625" s="164">
        <f t="shared" si="596"/>
        <v>0</v>
      </c>
      <c r="AH625" s="164">
        <f t="shared" si="596"/>
        <v>0</v>
      </c>
      <c r="AI625" s="164">
        <f t="shared" si="596"/>
        <v>0</v>
      </c>
      <c r="AJ625" s="164">
        <f t="shared" si="596"/>
        <v>0</v>
      </c>
      <c r="AK625" s="164">
        <f t="shared" si="596"/>
        <v>0</v>
      </c>
      <c r="AL625" s="164">
        <f t="shared" si="596"/>
        <v>0</v>
      </c>
      <c r="AM625" s="164">
        <f t="shared" si="596"/>
        <v>0</v>
      </c>
    </row>
    <row r="626" spans="1:39">
      <c r="A626" s="100"/>
      <c r="B626" s="100"/>
      <c r="C626" s="100"/>
      <c r="D626" s="179" t="str">
        <f t="shared" si="590"/>
        <v>Motor vehicles</v>
      </c>
      <c r="E626" s="165" t="str">
        <f>H592</f>
        <v>Terminal International</v>
      </c>
      <c r="F626" s="165"/>
      <c r="G626" s="165" t="s">
        <v>88</v>
      </c>
      <c r="H626" s="121"/>
      <c r="I626" s="165"/>
      <c r="J626" s="165"/>
      <c r="K626" s="197"/>
      <c r="L626" s="197"/>
      <c r="M626" s="477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</row>
    <row r="627" spans="1:39">
      <c r="A627" s="100"/>
      <c r="B627" s="100"/>
      <c r="C627" s="100"/>
      <c r="D627" s="179" t="str">
        <f t="shared" si="590"/>
        <v>Motor vehicles</v>
      </c>
      <c r="E627" s="165" t="str">
        <f>H592</f>
        <v>Terminal International</v>
      </c>
      <c r="F627" s="165"/>
      <c r="G627" s="165" t="s">
        <v>87</v>
      </c>
      <c r="H627" s="121"/>
      <c r="I627" s="165"/>
      <c r="J627" s="165"/>
      <c r="K627" s="197"/>
      <c r="L627" s="197"/>
      <c r="M627" s="477"/>
      <c r="N627" s="164"/>
      <c r="O627" s="164">
        <f t="shared" ref="O627:X627" si="597">IF(N623&gt;0,N625/AVERAGE(N623,N628)*O626,0)</f>
        <v>0</v>
      </c>
      <c r="P627" s="164">
        <f t="shared" si="597"/>
        <v>0</v>
      </c>
      <c r="Q627" s="164">
        <f t="shared" si="597"/>
        <v>0</v>
      </c>
      <c r="R627" s="164">
        <f t="shared" si="597"/>
        <v>0</v>
      </c>
      <c r="S627" s="164">
        <f t="shared" si="597"/>
        <v>0</v>
      </c>
      <c r="T627" s="164">
        <f t="shared" si="597"/>
        <v>0</v>
      </c>
      <c r="U627" s="164">
        <f t="shared" si="597"/>
        <v>0</v>
      </c>
      <c r="V627" s="164">
        <f t="shared" si="597"/>
        <v>0</v>
      </c>
      <c r="W627" s="164">
        <f t="shared" si="597"/>
        <v>0</v>
      </c>
      <c r="X627" s="164">
        <f t="shared" si="597"/>
        <v>0</v>
      </c>
      <c r="Y627" s="164">
        <f t="shared" ref="Y627:AM627" si="598">IF(X623&gt;0,X625/AVERAGE(X623,X628)*Y626,0)</f>
        <v>0</v>
      </c>
      <c r="Z627" s="164">
        <f t="shared" si="598"/>
        <v>0</v>
      </c>
      <c r="AA627" s="164">
        <f t="shared" si="598"/>
        <v>0</v>
      </c>
      <c r="AB627" s="164">
        <f t="shared" si="598"/>
        <v>0</v>
      </c>
      <c r="AC627" s="164">
        <f t="shared" si="598"/>
        <v>0</v>
      </c>
      <c r="AD627" s="164">
        <f t="shared" si="598"/>
        <v>0</v>
      </c>
      <c r="AE627" s="164">
        <f t="shared" si="598"/>
        <v>0</v>
      </c>
      <c r="AF627" s="164">
        <f t="shared" si="598"/>
        <v>0</v>
      </c>
      <c r="AG627" s="164">
        <f t="shared" si="598"/>
        <v>0</v>
      </c>
      <c r="AH627" s="164">
        <f t="shared" si="598"/>
        <v>0</v>
      </c>
      <c r="AI627" s="164">
        <f t="shared" si="598"/>
        <v>0</v>
      </c>
      <c r="AJ627" s="164">
        <f t="shared" si="598"/>
        <v>0</v>
      </c>
      <c r="AK627" s="164">
        <f t="shared" si="598"/>
        <v>0</v>
      </c>
      <c r="AL627" s="164">
        <f t="shared" si="598"/>
        <v>0</v>
      </c>
      <c r="AM627" s="164">
        <f t="shared" si="598"/>
        <v>0</v>
      </c>
    </row>
    <row r="628" spans="1:39">
      <c r="A628" s="100"/>
      <c r="B628" s="100"/>
      <c r="C628" s="100"/>
      <c r="D628" s="179" t="str">
        <f t="shared" si="590"/>
        <v>Motor vehicles</v>
      </c>
      <c r="E628" s="165" t="str">
        <f>H592</f>
        <v>Terminal International</v>
      </c>
      <c r="F628" s="165"/>
      <c r="G628" s="200" t="s">
        <v>76</v>
      </c>
      <c r="H628" s="201"/>
      <c r="I628" s="200"/>
      <c r="J628" s="200"/>
      <c r="K628" s="199">
        <f>K243</f>
        <v>0</v>
      </c>
      <c r="L628" s="199">
        <f>L243</f>
        <v>0</v>
      </c>
      <c r="M628" s="527">
        <f>M243</f>
        <v>0</v>
      </c>
      <c r="N628" s="198">
        <f>N243</f>
        <v>0</v>
      </c>
      <c r="O628" s="198">
        <f t="shared" ref="O628:AM628" si="599">SUM(O623:O624,O626)-SUM(O625,O627)</f>
        <v>0</v>
      </c>
      <c r="P628" s="198">
        <f t="shared" si="599"/>
        <v>0</v>
      </c>
      <c r="Q628" s="198">
        <f t="shared" si="599"/>
        <v>0</v>
      </c>
      <c r="R628" s="198">
        <f t="shared" si="599"/>
        <v>0</v>
      </c>
      <c r="S628" s="198">
        <f t="shared" si="599"/>
        <v>0</v>
      </c>
      <c r="T628" s="198">
        <f t="shared" si="599"/>
        <v>0</v>
      </c>
      <c r="U628" s="198">
        <f t="shared" si="599"/>
        <v>0</v>
      </c>
      <c r="V628" s="198">
        <f t="shared" si="599"/>
        <v>0</v>
      </c>
      <c r="W628" s="198">
        <f t="shared" si="599"/>
        <v>0</v>
      </c>
      <c r="X628" s="198">
        <f t="shared" si="599"/>
        <v>0</v>
      </c>
      <c r="Y628" s="198">
        <f t="shared" si="599"/>
        <v>0</v>
      </c>
      <c r="Z628" s="198">
        <f t="shared" si="599"/>
        <v>0</v>
      </c>
      <c r="AA628" s="198">
        <f t="shared" si="599"/>
        <v>0</v>
      </c>
      <c r="AB628" s="198">
        <f t="shared" si="599"/>
        <v>0</v>
      </c>
      <c r="AC628" s="198">
        <f t="shared" si="599"/>
        <v>0</v>
      </c>
      <c r="AD628" s="198">
        <f t="shared" si="599"/>
        <v>0</v>
      </c>
      <c r="AE628" s="198">
        <f t="shared" si="599"/>
        <v>0</v>
      </c>
      <c r="AF628" s="198">
        <f t="shared" si="599"/>
        <v>0</v>
      </c>
      <c r="AG628" s="198">
        <f t="shared" si="599"/>
        <v>0</v>
      </c>
      <c r="AH628" s="198">
        <f t="shared" si="599"/>
        <v>0</v>
      </c>
      <c r="AI628" s="198">
        <f t="shared" si="599"/>
        <v>0</v>
      </c>
      <c r="AJ628" s="198">
        <f t="shared" si="599"/>
        <v>0</v>
      </c>
      <c r="AK628" s="198">
        <f t="shared" si="599"/>
        <v>0</v>
      </c>
      <c r="AL628" s="198">
        <f t="shared" si="599"/>
        <v>0</v>
      </c>
      <c r="AM628" s="198">
        <f t="shared" si="599"/>
        <v>0</v>
      </c>
    </row>
    <row r="629" spans="1:39">
      <c r="A629" s="100"/>
      <c r="B629" s="100"/>
      <c r="C629" s="100"/>
      <c r="D629" s="179"/>
      <c r="E629" s="165"/>
      <c r="F629" s="165"/>
      <c r="G629" s="205"/>
      <c r="H629" s="121"/>
      <c r="I629" s="165"/>
      <c r="J629" s="165"/>
      <c r="K629" s="204"/>
      <c r="L629" s="197"/>
      <c r="M629" s="477"/>
      <c r="N629" s="164"/>
      <c r="O629" s="164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  <c r="AG629" s="165"/>
      <c r="AH629" s="165"/>
      <c r="AI629" s="165"/>
      <c r="AJ629" s="165"/>
      <c r="AK629" s="165"/>
      <c r="AL629" s="165"/>
      <c r="AM629" s="165"/>
    </row>
    <row r="630" spans="1:39">
      <c r="A630" s="100"/>
      <c r="B630" s="100"/>
      <c r="C630" s="100"/>
      <c r="D630" s="179"/>
      <c r="E630" s="165"/>
      <c r="F630" s="165"/>
      <c r="G630" s="206" t="s">
        <v>34</v>
      </c>
      <c r="H630" s="121"/>
      <c r="I630" s="165"/>
      <c r="J630" s="165"/>
      <c r="K630" s="204"/>
      <c r="L630" s="197"/>
      <c r="M630" s="477"/>
      <c r="N630" s="164"/>
      <c r="O630" s="164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  <c r="AA630" s="165"/>
      <c r="AB630" s="165"/>
      <c r="AC630" s="165"/>
      <c r="AD630" s="165"/>
      <c r="AE630" s="165"/>
      <c r="AF630" s="165"/>
      <c r="AG630" s="165"/>
      <c r="AH630" s="165"/>
      <c r="AI630" s="165"/>
      <c r="AJ630" s="165"/>
      <c r="AK630" s="165"/>
      <c r="AL630" s="165"/>
      <c r="AM630" s="165"/>
    </row>
    <row r="631" spans="1:39">
      <c r="A631" s="100"/>
      <c r="B631" s="100"/>
      <c r="C631" s="100"/>
      <c r="D631" s="179"/>
      <c r="E631" s="165"/>
      <c r="F631" s="165"/>
      <c r="G631" s="205"/>
      <c r="H631" s="121"/>
      <c r="I631" s="165"/>
      <c r="J631" s="165"/>
      <c r="K631" s="204"/>
      <c r="L631" s="197"/>
      <c r="M631" s="477"/>
      <c r="N631" s="164"/>
      <c r="O631" s="164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  <c r="AA631" s="165"/>
      <c r="AB631" s="165"/>
      <c r="AC631" s="165"/>
      <c r="AD631" s="165"/>
      <c r="AE631" s="165"/>
      <c r="AF631" s="165"/>
      <c r="AG631" s="165"/>
      <c r="AH631" s="165"/>
      <c r="AI631" s="165"/>
      <c r="AJ631" s="165"/>
      <c r="AK631" s="165"/>
      <c r="AL631" s="165"/>
      <c r="AM631" s="165"/>
    </row>
    <row r="632" spans="1:39">
      <c r="A632" s="100"/>
      <c r="B632" s="100"/>
      <c r="C632" s="100"/>
      <c r="D632" s="179" t="s">
        <v>34</v>
      </c>
      <c r="E632" s="165" t="str">
        <f>H592</f>
        <v>Terminal International</v>
      </c>
      <c r="F632" s="165"/>
      <c r="G632" s="165" t="s">
        <v>80</v>
      </c>
      <c r="H632" s="121"/>
      <c r="I632" s="165"/>
      <c r="J632" s="165"/>
      <c r="K632" s="530">
        <f>K637</f>
        <v>0</v>
      </c>
      <c r="L632" s="530">
        <f>L637</f>
        <v>0</v>
      </c>
      <c r="M632" s="531"/>
      <c r="N632" s="164"/>
      <c r="O632" s="164">
        <f t="shared" ref="O632:Y632" si="600">N637</f>
        <v>460098.2306231953</v>
      </c>
      <c r="P632" s="164">
        <f t="shared" si="600"/>
        <v>712044.56204386952</v>
      </c>
      <c r="Q632" s="164">
        <f t="shared" si="600"/>
        <v>732782.44450219464</v>
      </c>
      <c r="R632" s="164">
        <f t="shared" si="600"/>
        <v>734248.19007518678</v>
      </c>
      <c r="S632" s="164">
        <f t="shared" si="600"/>
        <v>723155.99964908767</v>
      </c>
      <c r="T632" s="164">
        <f t="shared" si="600"/>
        <v>696957.6257808283</v>
      </c>
      <c r="U632" s="164">
        <f t="shared" si="600"/>
        <v>605555.32676194282</v>
      </c>
      <c r="V632" s="164">
        <f t="shared" si="600"/>
        <v>514153.02774305741</v>
      </c>
      <c r="W632" s="164">
        <f t="shared" si="600"/>
        <v>422750.72872417199</v>
      </c>
      <c r="X632" s="164">
        <f t="shared" si="600"/>
        <v>331348.42970528657</v>
      </c>
      <c r="Y632" s="164">
        <f t="shared" si="600"/>
        <v>239946.13068640121</v>
      </c>
      <c r="Z632" s="164">
        <f t="shared" ref="Z632:AM632" si="601">Y637</f>
        <v>203552.18642663892</v>
      </c>
      <c r="AA632" s="164">
        <f t="shared" si="601"/>
        <v>176192.63709762375</v>
      </c>
      <c r="AB632" s="164">
        <f t="shared" si="601"/>
        <v>156729.95581551283</v>
      </c>
      <c r="AC632" s="164">
        <f t="shared" si="601"/>
        <v>144646.24614117428</v>
      </c>
      <c r="AD632" s="164">
        <f t="shared" si="601"/>
        <v>139082.92898189835</v>
      </c>
      <c r="AE632" s="164">
        <f t="shared" si="601"/>
        <v>133519.61182262242</v>
      </c>
      <c r="AF632" s="164">
        <f t="shared" si="601"/>
        <v>127956.29466334649</v>
      </c>
      <c r="AG632" s="164">
        <f t="shared" si="601"/>
        <v>122392.97750407056</v>
      </c>
      <c r="AH632" s="164">
        <f t="shared" si="601"/>
        <v>116829.66034479463</v>
      </c>
      <c r="AI632" s="164">
        <f t="shared" si="601"/>
        <v>111266.34318551869</v>
      </c>
      <c r="AJ632" s="164">
        <f t="shared" si="601"/>
        <v>111266.34318551869</v>
      </c>
      <c r="AK632" s="164">
        <f t="shared" si="601"/>
        <v>111266.34318551869</v>
      </c>
      <c r="AL632" s="164">
        <f t="shared" si="601"/>
        <v>111266.34318551869</v>
      </c>
      <c r="AM632" s="164">
        <f t="shared" si="601"/>
        <v>111266.34318551869</v>
      </c>
    </row>
    <row r="633" spans="1:39">
      <c r="A633" s="100"/>
      <c r="B633" s="100"/>
      <c r="C633" s="100"/>
      <c r="D633" s="179" t="s">
        <v>34</v>
      </c>
      <c r="E633" s="165" t="str">
        <f>H592</f>
        <v>Terminal International</v>
      </c>
      <c r="F633" s="165"/>
      <c r="G633" s="165" t="s">
        <v>83</v>
      </c>
      <c r="H633" s="121"/>
      <c r="I633" s="165"/>
      <c r="J633" s="165"/>
      <c r="K633" s="532"/>
      <c r="L633" s="532"/>
      <c r="M633" s="533"/>
      <c r="N633" s="164"/>
      <c r="O633" s="164">
        <f t="shared" ref="O633:X633" si="602">SUMIFS(O$27:O$44,$J$27:$J$44,$G630,$K$27:$K$44,$G633)</f>
        <v>312518.00333907327</v>
      </c>
      <c r="P633" s="164">
        <f t="shared" si="602"/>
        <v>90343.949307471295</v>
      </c>
      <c r="Q633" s="164">
        <f t="shared" si="602"/>
        <v>78968.680469042563</v>
      </c>
      <c r="R633" s="164">
        <f t="shared" si="602"/>
        <v>73789.716077723671</v>
      </c>
      <c r="S633" s="164">
        <f t="shared" si="602"/>
        <v>65203.92515062615</v>
      </c>
      <c r="T633" s="164">
        <f t="shared" si="602"/>
        <v>0</v>
      </c>
      <c r="U633" s="164">
        <f t="shared" si="602"/>
        <v>0</v>
      </c>
      <c r="V633" s="164">
        <f t="shared" si="602"/>
        <v>0</v>
      </c>
      <c r="W633" s="164">
        <f t="shared" si="602"/>
        <v>0</v>
      </c>
      <c r="X633" s="164">
        <f t="shared" si="602"/>
        <v>0</v>
      </c>
      <c r="Y633" s="164">
        <f>SUMIFS(Y$27:Y$44,$J$27:$J$44,$G630,$K$27:$K$44,$G633)</f>
        <v>0</v>
      </c>
      <c r="Z633" s="164">
        <f t="shared" ref="Z633:AM633" si="603">SUMIFS(Z$27:Z$44,$J$27:$J$44,$G630,$K$27:$K$44,$G633)</f>
        <v>0</v>
      </c>
      <c r="AA633" s="164">
        <f t="shared" si="603"/>
        <v>0</v>
      </c>
      <c r="AB633" s="164">
        <f t="shared" si="603"/>
        <v>0</v>
      </c>
      <c r="AC633" s="164">
        <f t="shared" si="603"/>
        <v>0</v>
      </c>
      <c r="AD633" s="164">
        <f t="shared" si="603"/>
        <v>0</v>
      </c>
      <c r="AE633" s="164">
        <f t="shared" si="603"/>
        <v>0</v>
      </c>
      <c r="AF633" s="164">
        <f t="shared" si="603"/>
        <v>0</v>
      </c>
      <c r="AG633" s="164">
        <f t="shared" si="603"/>
        <v>0</v>
      </c>
      <c r="AH633" s="164">
        <f t="shared" si="603"/>
        <v>0</v>
      </c>
      <c r="AI633" s="164">
        <f t="shared" si="603"/>
        <v>0</v>
      </c>
      <c r="AJ633" s="164">
        <f t="shared" si="603"/>
        <v>0</v>
      </c>
      <c r="AK633" s="164">
        <f t="shared" si="603"/>
        <v>0</v>
      </c>
      <c r="AL633" s="164">
        <f t="shared" si="603"/>
        <v>0</v>
      </c>
      <c r="AM633" s="164">
        <f t="shared" si="603"/>
        <v>0</v>
      </c>
    </row>
    <row r="634" spans="1:39">
      <c r="A634" s="100"/>
      <c r="B634" s="100"/>
      <c r="C634" s="100"/>
      <c r="D634" s="179" t="s">
        <v>34</v>
      </c>
      <c r="E634" s="165" t="str">
        <f>H592</f>
        <v>Terminal International</v>
      </c>
      <c r="F634" s="165"/>
      <c r="G634" s="165" t="s">
        <v>78</v>
      </c>
      <c r="H634" s="121"/>
      <c r="I634" s="165"/>
      <c r="J634" s="165"/>
      <c r="K634" s="197"/>
      <c r="L634" s="197"/>
      <c r="M634" s="477"/>
      <c r="N634" s="164"/>
      <c r="O634" s="164">
        <f t="shared" ref="O634:X634" si="604">O250+SUMIFS(O$27:O$44,$J$27:$J$44,$G630,$K$27:$K$44,$G634)</f>
        <v>60571.67191839905</v>
      </c>
      <c r="P634" s="164">
        <f t="shared" si="604"/>
        <v>69606.066849146184</v>
      </c>
      <c r="Q634" s="164">
        <f t="shared" si="604"/>
        <v>77502.934896050429</v>
      </c>
      <c r="R634" s="164">
        <f t="shared" si="604"/>
        <v>84881.9065038228</v>
      </c>
      <c r="S634" s="164">
        <f t="shared" si="604"/>
        <v>91402.299018885416</v>
      </c>
      <c r="T634" s="164">
        <f t="shared" si="604"/>
        <v>91402.299018885416</v>
      </c>
      <c r="U634" s="164">
        <f t="shared" si="604"/>
        <v>91402.299018885416</v>
      </c>
      <c r="V634" s="164">
        <f t="shared" si="604"/>
        <v>91402.299018885416</v>
      </c>
      <c r="W634" s="164">
        <f t="shared" si="604"/>
        <v>91402.299018885416</v>
      </c>
      <c r="X634" s="164">
        <f t="shared" si="604"/>
        <v>91402.299018885373</v>
      </c>
      <c r="Y634" s="164">
        <f>Y250+SUMIFS(Y$27:Y$44,$J$27:$J$44,$G630,$K$27:$K$44,$G634)</f>
        <v>36393.944259762306</v>
      </c>
      <c r="Z634" s="164">
        <f t="shared" ref="Z634:AM634" si="605">Z250+SUMIFS(Z$27:Z$44,$J$27:$J$44,$G630,$K$27:$K$44,$G634)</f>
        <v>27359.549329015172</v>
      </c>
      <c r="AA634" s="164">
        <f t="shared" si="605"/>
        <v>19462.681282110912</v>
      </c>
      <c r="AB634" s="164">
        <f t="shared" si="605"/>
        <v>12083.709674338548</v>
      </c>
      <c r="AC634" s="164">
        <f t="shared" si="605"/>
        <v>5563.3171592759336</v>
      </c>
      <c r="AD634" s="164">
        <f t="shared" si="605"/>
        <v>5563.3171592759336</v>
      </c>
      <c r="AE634" s="164">
        <f t="shared" si="605"/>
        <v>5563.3171592759336</v>
      </c>
      <c r="AF634" s="164">
        <f t="shared" si="605"/>
        <v>5563.3171592759336</v>
      </c>
      <c r="AG634" s="164">
        <f t="shared" si="605"/>
        <v>5563.3171592759336</v>
      </c>
      <c r="AH634" s="164">
        <f t="shared" si="605"/>
        <v>5563.3171592759336</v>
      </c>
      <c r="AI634" s="164">
        <f t="shared" si="605"/>
        <v>0</v>
      </c>
      <c r="AJ634" s="164">
        <f t="shared" si="605"/>
        <v>0</v>
      </c>
      <c r="AK634" s="164">
        <f t="shared" si="605"/>
        <v>0</v>
      </c>
      <c r="AL634" s="164">
        <f t="shared" si="605"/>
        <v>0</v>
      </c>
      <c r="AM634" s="164">
        <f t="shared" si="605"/>
        <v>0</v>
      </c>
    </row>
    <row r="635" spans="1:39">
      <c r="A635" s="100"/>
      <c r="B635" s="100"/>
      <c r="C635" s="100"/>
      <c r="D635" s="179" t="s">
        <v>34</v>
      </c>
      <c r="E635" s="165" t="str">
        <f>H592</f>
        <v>Terminal International</v>
      </c>
      <c r="F635" s="165"/>
      <c r="G635" s="165" t="s">
        <v>88</v>
      </c>
      <c r="H635" s="121"/>
      <c r="I635" s="165"/>
      <c r="J635" s="165"/>
      <c r="K635" s="197"/>
      <c r="L635" s="197"/>
      <c r="M635" s="477"/>
      <c r="N635" s="230"/>
      <c r="O635" s="230"/>
      <c r="P635" s="230"/>
      <c r="Q635" s="230"/>
      <c r="R635" s="230"/>
      <c r="S635" s="230"/>
      <c r="T635" s="230"/>
      <c r="U635" s="230"/>
      <c r="V635" s="230"/>
      <c r="W635" s="230"/>
      <c r="X635" s="230"/>
      <c r="Y635" s="230"/>
      <c r="Z635" s="230"/>
      <c r="AA635" s="230"/>
      <c r="AB635" s="230"/>
      <c r="AC635" s="230"/>
      <c r="AD635" s="230"/>
      <c r="AE635" s="230"/>
      <c r="AF635" s="230"/>
      <c r="AG635" s="230"/>
      <c r="AH635" s="230"/>
      <c r="AI635" s="230"/>
      <c r="AJ635" s="230"/>
      <c r="AK635" s="230"/>
      <c r="AL635" s="230"/>
      <c r="AM635" s="230"/>
    </row>
    <row r="636" spans="1:39">
      <c r="A636" s="100"/>
      <c r="B636" s="100"/>
      <c r="C636" s="100"/>
      <c r="D636" s="179" t="s">
        <v>34</v>
      </c>
      <c r="E636" s="165" t="str">
        <f>H592</f>
        <v>Terminal International</v>
      </c>
      <c r="F636" s="165"/>
      <c r="G636" s="165" t="s">
        <v>87</v>
      </c>
      <c r="H636" s="121"/>
      <c r="I636" s="165"/>
      <c r="J636" s="165"/>
      <c r="K636" s="197"/>
      <c r="L636" s="197"/>
      <c r="M636" s="477"/>
      <c r="N636" s="164"/>
      <c r="O636" s="164">
        <f t="shared" ref="O636:X636" si="606">IF(N632&gt;0,N634/AVERAGE(N632,N637)*O635,0)</f>
        <v>0</v>
      </c>
      <c r="P636" s="164">
        <f t="shared" si="606"/>
        <v>0</v>
      </c>
      <c r="Q636" s="164">
        <f t="shared" si="606"/>
        <v>0</v>
      </c>
      <c r="R636" s="164">
        <f t="shared" si="606"/>
        <v>0</v>
      </c>
      <c r="S636" s="164">
        <f t="shared" si="606"/>
        <v>0</v>
      </c>
      <c r="T636" s="164">
        <f t="shared" si="606"/>
        <v>0</v>
      </c>
      <c r="U636" s="164">
        <f t="shared" si="606"/>
        <v>0</v>
      </c>
      <c r="V636" s="164">
        <f t="shared" si="606"/>
        <v>0</v>
      </c>
      <c r="W636" s="164">
        <f t="shared" si="606"/>
        <v>0</v>
      </c>
      <c r="X636" s="164">
        <f t="shared" si="606"/>
        <v>0</v>
      </c>
      <c r="Y636" s="164">
        <f t="shared" ref="Y636:AM636" si="607">IF(X632&gt;0,X634/AVERAGE(X632,X637)*Y635,0)</f>
        <v>0</v>
      </c>
      <c r="Z636" s="164">
        <f t="shared" si="607"/>
        <v>0</v>
      </c>
      <c r="AA636" s="164">
        <f t="shared" si="607"/>
        <v>0</v>
      </c>
      <c r="AB636" s="164">
        <f t="shared" si="607"/>
        <v>0</v>
      </c>
      <c r="AC636" s="164">
        <f t="shared" si="607"/>
        <v>0</v>
      </c>
      <c r="AD636" s="164">
        <f t="shared" si="607"/>
        <v>0</v>
      </c>
      <c r="AE636" s="164">
        <f t="shared" si="607"/>
        <v>0</v>
      </c>
      <c r="AF636" s="164">
        <f t="shared" si="607"/>
        <v>0</v>
      </c>
      <c r="AG636" s="164">
        <f t="shared" si="607"/>
        <v>0</v>
      </c>
      <c r="AH636" s="164">
        <f t="shared" si="607"/>
        <v>0</v>
      </c>
      <c r="AI636" s="164">
        <f t="shared" si="607"/>
        <v>0</v>
      </c>
      <c r="AJ636" s="164">
        <f t="shared" si="607"/>
        <v>0</v>
      </c>
      <c r="AK636" s="164">
        <f t="shared" si="607"/>
        <v>0</v>
      </c>
      <c r="AL636" s="164">
        <f t="shared" si="607"/>
        <v>0</v>
      </c>
      <c r="AM636" s="164">
        <f t="shared" si="607"/>
        <v>0</v>
      </c>
    </row>
    <row r="637" spans="1:39">
      <c r="A637" s="100"/>
      <c r="B637" s="100"/>
      <c r="C637" s="100"/>
      <c r="D637" s="179" t="s">
        <v>34</v>
      </c>
      <c r="E637" s="165" t="str">
        <f>H592</f>
        <v>Terminal International</v>
      </c>
      <c r="F637" s="165"/>
      <c r="G637" s="200" t="s">
        <v>76</v>
      </c>
      <c r="H637" s="201"/>
      <c r="I637" s="200"/>
      <c r="J637" s="200"/>
      <c r="K637" s="199">
        <f>K252</f>
        <v>0</v>
      </c>
      <c r="L637" s="199">
        <f>L252</f>
        <v>0</v>
      </c>
      <c r="M637" s="527">
        <f>M252</f>
        <v>0</v>
      </c>
      <c r="N637" s="198">
        <f>N252</f>
        <v>460098.2306231953</v>
      </c>
      <c r="O637" s="198">
        <f t="shared" ref="O637:AM637" si="608">SUM(O632:O633,O635)-SUM(O634,O636)</f>
        <v>712044.56204386952</v>
      </c>
      <c r="P637" s="198">
        <f t="shared" si="608"/>
        <v>732782.44450219464</v>
      </c>
      <c r="Q637" s="198">
        <f t="shared" si="608"/>
        <v>734248.19007518678</v>
      </c>
      <c r="R637" s="198">
        <f t="shared" si="608"/>
        <v>723155.99964908767</v>
      </c>
      <c r="S637" s="198">
        <f t="shared" si="608"/>
        <v>696957.6257808283</v>
      </c>
      <c r="T637" s="198">
        <f t="shared" si="608"/>
        <v>605555.32676194282</v>
      </c>
      <c r="U637" s="198">
        <f t="shared" si="608"/>
        <v>514153.02774305741</v>
      </c>
      <c r="V637" s="198">
        <f t="shared" si="608"/>
        <v>422750.72872417199</v>
      </c>
      <c r="W637" s="198">
        <f t="shared" si="608"/>
        <v>331348.42970528657</v>
      </c>
      <c r="X637" s="198">
        <f t="shared" si="608"/>
        <v>239946.13068640121</v>
      </c>
      <c r="Y637" s="198">
        <f t="shared" si="608"/>
        <v>203552.18642663892</v>
      </c>
      <c r="Z637" s="198">
        <f t="shared" si="608"/>
        <v>176192.63709762375</v>
      </c>
      <c r="AA637" s="198">
        <f t="shared" si="608"/>
        <v>156729.95581551283</v>
      </c>
      <c r="AB637" s="198">
        <f t="shared" si="608"/>
        <v>144646.24614117428</v>
      </c>
      <c r="AC637" s="198">
        <f t="shared" si="608"/>
        <v>139082.92898189835</v>
      </c>
      <c r="AD637" s="198">
        <f t="shared" si="608"/>
        <v>133519.61182262242</v>
      </c>
      <c r="AE637" s="198">
        <f t="shared" si="608"/>
        <v>127956.29466334649</v>
      </c>
      <c r="AF637" s="198">
        <f t="shared" si="608"/>
        <v>122392.97750407056</v>
      </c>
      <c r="AG637" s="198">
        <f t="shared" si="608"/>
        <v>116829.66034479463</v>
      </c>
      <c r="AH637" s="198">
        <f t="shared" si="608"/>
        <v>111266.34318551869</v>
      </c>
      <c r="AI637" s="198">
        <f t="shared" si="608"/>
        <v>111266.34318551869</v>
      </c>
      <c r="AJ637" s="198">
        <f t="shared" si="608"/>
        <v>111266.34318551869</v>
      </c>
      <c r="AK637" s="198">
        <f t="shared" si="608"/>
        <v>111266.34318551869</v>
      </c>
      <c r="AL637" s="198">
        <f t="shared" si="608"/>
        <v>111266.34318551869</v>
      </c>
      <c r="AM637" s="198">
        <f t="shared" si="608"/>
        <v>111266.34318551869</v>
      </c>
    </row>
    <row r="638" spans="1:39">
      <c r="A638" s="100"/>
      <c r="B638" s="100"/>
      <c r="C638" s="100"/>
      <c r="D638" s="179"/>
      <c r="E638" s="165"/>
      <c r="F638" s="165"/>
      <c r="G638" s="165"/>
      <c r="H638" s="121"/>
      <c r="I638" s="165"/>
      <c r="J638" s="165"/>
      <c r="K638" s="197"/>
      <c r="L638" s="197"/>
      <c r="M638" s="477"/>
      <c r="N638" s="164"/>
      <c r="O638" s="164"/>
      <c r="P638" s="164"/>
      <c r="Q638" s="164"/>
      <c r="R638" s="164"/>
      <c r="S638" s="164"/>
      <c r="T638" s="164"/>
      <c r="U638" s="164"/>
      <c r="V638" s="164"/>
      <c r="W638" s="164"/>
      <c r="X638" s="164"/>
      <c r="Y638" s="164"/>
      <c r="Z638" s="164"/>
      <c r="AA638" s="164"/>
      <c r="AB638" s="164"/>
      <c r="AC638" s="164"/>
      <c r="AD638" s="164"/>
      <c r="AE638" s="164"/>
      <c r="AF638" s="164"/>
      <c r="AG638" s="164"/>
      <c r="AH638" s="164"/>
      <c r="AI638" s="164"/>
      <c r="AJ638" s="164"/>
      <c r="AK638" s="164"/>
      <c r="AL638" s="164"/>
      <c r="AM638" s="164"/>
    </row>
    <row r="639" spans="1:39">
      <c r="A639" s="100"/>
      <c r="B639" s="100"/>
      <c r="C639" s="100"/>
      <c r="D639" s="179"/>
      <c r="E639" s="165"/>
      <c r="F639" s="165"/>
      <c r="G639" s="206" t="s">
        <v>33</v>
      </c>
      <c r="H639" s="121"/>
      <c r="I639" s="165"/>
      <c r="J639" s="165"/>
      <c r="K639" s="204"/>
      <c r="L639" s="197"/>
      <c r="M639" s="477"/>
      <c r="N639" s="164"/>
      <c r="O639" s="164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</row>
    <row r="640" spans="1:39">
      <c r="A640" s="100"/>
      <c r="B640" s="100"/>
      <c r="C640" s="100"/>
      <c r="D640" s="179"/>
      <c r="E640" s="165"/>
      <c r="F640" s="165"/>
      <c r="G640" s="205"/>
      <c r="H640" s="121"/>
      <c r="I640" s="165"/>
      <c r="J640" s="165"/>
      <c r="K640" s="204"/>
      <c r="L640" s="197"/>
      <c r="M640" s="477"/>
      <c r="N640" s="164"/>
      <c r="O640" s="164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</row>
    <row r="641" spans="1:39">
      <c r="A641" s="100"/>
      <c r="B641" s="100"/>
      <c r="C641" s="100"/>
      <c r="D641" s="179" t="str">
        <f t="shared" ref="D641:D646" si="609">$G$545</f>
        <v>Airfield Runway Apron Taxi</v>
      </c>
      <c r="E641" s="165" t="str">
        <f>H592</f>
        <v>Terminal International</v>
      </c>
      <c r="F641" s="165"/>
      <c r="G641" s="165" t="s">
        <v>80</v>
      </c>
      <c r="H641" s="121"/>
      <c r="I641" s="165"/>
      <c r="J641" s="165"/>
      <c r="K641" s="530">
        <f>K646</f>
        <v>0</v>
      </c>
      <c r="L641" s="530">
        <f>L646</f>
        <v>0</v>
      </c>
      <c r="M641" s="531"/>
      <c r="N641" s="164"/>
      <c r="O641" s="164">
        <f t="shared" ref="O641:Y641" si="610">N646</f>
        <v>0</v>
      </c>
      <c r="P641" s="164">
        <f t="shared" si="610"/>
        <v>0</v>
      </c>
      <c r="Q641" s="164">
        <f t="shared" si="610"/>
        <v>0</v>
      </c>
      <c r="R641" s="164">
        <f t="shared" si="610"/>
        <v>0</v>
      </c>
      <c r="S641" s="164">
        <f t="shared" si="610"/>
        <v>0</v>
      </c>
      <c r="T641" s="164">
        <f t="shared" si="610"/>
        <v>0</v>
      </c>
      <c r="U641" s="164">
        <f t="shared" si="610"/>
        <v>0</v>
      </c>
      <c r="V641" s="164">
        <f t="shared" si="610"/>
        <v>0</v>
      </c>
      <c r="W641" s="164">
        <f t="shared" si="610"/>
        <v>0</v>
      </c>
      <c r="X641" s="164">
        <f t="shared" si="610"/>
        <v>0</v>
      </c>
      <c r="Y641" s="164">
        <f t="shared" si="610"/>
        <v>0</v>
      </c>
      <c r="Z641" s="164">
        <f t="shared" ref="Z641:AM641" si="611">Y646</f>
        <v>0</v>
      </c>
      <c r="AA641" s="164">
        <f t="shared" si="611"/>
        <v>0</v>
      </c>
      <c r="AB641" s="164">
        <f t="shared" si="611"/>
        <v>0</v>
      </c>
      <c r="AC641" s="164">
        <f t="shared" si="611"/>
        <v>0</v>
      </c>
      <c r="AD641" s="164">
        <f t="shared" si="611"/>
        <v>0</v>
      </c>
      <c r="AE641" s="164">
        <f t="shared" si="611"/>
        <v>0</v>
      </c>
      <c r="AF641" s="164">
        <f t="shared" si="611"/>
        <v>0</v>
      </c>
      <c r="AG641" s="164">
        <f t="shared" si="611"/>
        <v>0</v>
      </c>
      <c r="AH641" s="164">
        <f t="shared" si="611"/>
        <v>0</v>
      </c>
      <c r="AI641" s="164">
        <f t="shared" si="611"/>
        <v>0</v>
      </c>
      <c r="AJ641" s="164">
        <f t="shared" si="611"/>
        <v>0</v>
      </c>
      <c r="AK641" s="164">
        <f t="shared" si="611"/>
        <v>0</v>
      </c>
      <c r="AL641" s="164">
        <f t="shared" si="611"/>
        <v>0</v>
      </c>
      <c r="AM641" s="164">
        <f t="shared" si="611"/>
        <v>0</v>
      </c>
    </row>
    <row r="642" spans="1:39">
      <c r="A642" s="100"/>
      <c r="B642" s="100"/>
      <c r="C642" s="100"/>
      <c r="D642" s="179" t="str">
        <f t="shared" si="609"/>
        <v>Airfield Runway Apron Taxi</v>
      </c>
      <c r="E642" s="165" t="str">
        <f>H592</f>
        <v>Terminal International</v>
      </c>
      <c r="F642" s="165"/>
      <c r="G642" s="165" t="s">
        <v>83</v>
      </c>
      <c r="H642" s="121"/>
      <c r="I642" s="165"/>
      <c r="J642" s="165"/>
      <c r="K642" s="532"/>
      <c r="L642" s="532"/>
      <c r="M642" s="533"/>
      <c r="N642" s="164"/>
      <c r="O642" s="164">
        <f t="shared" ref="O642:X642" si="612">SUMIFS(O$27:O$44,$J$27:$J$44,$G639,$K$27:$K$44,$G642)</f>
        <v>0</v>
      </c>
      <c r="P642" s="164">
        <f t="shared" si="612"/>
        <v>0</v>
      </c>
      <c r="Q642" s="164">
        <f t="shared" si="612"/>
        <v>0</v>
      </c>
      <c r="R642" s="164">
        <f t="shared" si="612"/>
        <v>0</v>
      </c>
      <c r="S642" s="164">
        <f t="shared" si="612"/>
        <v>0</v>
      </c>
      <c r="T642" s="164">
        <f t="shared" si="612"/>
        <v>0</v>
      </c>
      <c r="U642" s="164">
        <f t="shared" si="612"/>
        <v>0</v>
      </c>
      <c r="V642" s="164">
        <f t="shared" si="612"/>
        <v>0</v>
      </c>
      <c r="W642" s="164">
        <f t="shared" si="612"/>
        <v>0</v>
      </c>
      <c r="X642" s="164">
        <f t="shared" si="612"/>
        <v>0</v>
      </c>
      <c r="Y642" s="164">
        <f>SUMIFS(Y$27:Y$44,$J$27:$J$44,$G639,$K$27:$K$44,$G642)</f>
        <v>0</v>
      </c>
      <c r="Z642" s="164">
        <f t="shared" ref="Z642:AM642" si="613">SUMIFS(Z$27:Z$44,$J$27:$J$44,$G639,$K$27:$K$44,$G642)</f>
        <v>0</v>
      </c>
      <c r="AA642" s="164">
        <f t="shared" si="613"/>
        <v>0</v>
      </c>
      <c r="AB642" s="164">
        <f t="shared" si="613"/>
        <v>0</v>
      </c>
      <c r="AC642" s="164">
        <f t="shared" si="613"/>
        <v>0</v>
      </c>
      <c r="AD642" s="164">
        <f t="shared" si="613"/>
        <v>0</v>
      </c>
      <c r="AE642" s="164">
        <f t="shared" si="613"/>
        <v>0</v>
      </c>
      <c r="AF642" s="164">
        <f t="shared" si="613"/>
        <v>0</v>
      </c>
      <c r="AG642" s="164">
        <f t="shared" si="613"/>
        <v>0</v>
      </c>
      <c r="AH642" s="164">
        <f t="shared" si="613"/>
        <v>0</v>
      </c>
      <c r="AI642" s="164">
        <f t="shared" si="613"/>
        <v>0</v>
      </c>
      <c r="AJ642" s="164">
        <f t="shared" si="613"/>
        <v>0</v>
      </c>
      <c r="AK642" s="164">
        <f t="shared" si="613"/>
        <v>0</v>
      </c>
      <c r="AL642" s="164">
        <f t="shared" si="613"/>
        <v>0</v>
      </c>
      <c r="AM642" s="164">
        <f t="shared" si="613"/>
        <v>0</v>
      </c>
    </row>
    <row r="643" spans="1:39">
      <c r="A643" s="100"/>
      <c r="B643" s="100"/>
      <c r="C643" s="100"/>
      <c r="D643" s="179" t="str">
        <f t="shared" si="609"/>
        <v>Airfield Runway Apron Taxi</v>
      </c>
      <c r="E643" s="165" t="str">
        <f>H592</f>
        <v>Terminal International</v>
      </c>
      <c r="F643" s="165"/>
      <c r="G643" s="165" t="s">
        <v>78</v>
      </c>
      <c r="H643" s="121"/>
      <c r="I643" s="165"/>
      <c r="J643" s="165"/>
      <c r="K643" s="197"/>
      <c r="L643" s="197"/>
      <c r="M643" s="477"/>
      <c r="N643" s="164"/>
      <c r="O643" s="164">
        <f t="shared" ref="O643:X643" si="614">O259+SUMIFS(O$27:O$44,$J$27:$J$44,$G639,$K$27:$K$44,$G643)</f>
        <v>0</v>
      </c>
      <c r="P643" s="164">
        <f t="shared" si="614"/>
        <v>0</v>
      </c>
      <c r="Q643" s="164">
        <f t="shared" si="614"/>
        <v>0</v>
      </c>
      <c r="R643" s="164">
        <f t="shared" si="614"/>
        <v>0</v>
      </c>
      <c r="S643" s="164">
        <f t="shared" si="614"/>
        <v>0</v>
      </c>
      <c r="T643" s="164">
        <f t="shared" si="614"/>
        <v>0</v>
      </c>
      <c r="U643" s="164">
        <f t="shared" si="614"/>
        <v>0</v>
      </c>
      <c r="V643" s="164">
        <f t="shared" si="614"/>
        <v>0</v>
      </c>
      <c r="W643" s="164">
        <f t="shared" si="614"/>
        <v>0</v>
      </c>
      <c r="X643" s="164">
        <f t="shared" si="614"/>
        <v>0</v>
      </c>
      <c r="Y643" s="164">
        <f>Y259+SUMIFS(Y$27:Y$44,$J$27:$J$44,$G639,$K$27:$K$44,$G643)</f>
        <v>0</v>
      </c>
      <c r="Z643" s="164">
        <f t="shared" ref="Z643:AM643" si="615">Z259+SUMIFS(Z$27:Z$44,$J$27:$J$44,$G639,$K$27:$K$44,$G643)</f>
        <v>0</v>
      </c>
      <c r="AA643" s="164">
        <f t="shared" si="615"/>
        <v>0</v>
      </c>
      <c r="AB643" s="164">
        <f t="shared" si="615"/>
        <v>0</v>
      </c>
      <c r="AC643" s="164">
        <f t="shared" si="615"/>
        <v>0</v>
      </c>
      <c r="AD643" s="164">
        <f t="shared" si="615"/>
        <v>0</v>
      </c>
      <c r="AE643" s="164">
        <f t="shared" si="615"/>
        <v>0</v>
      </c>
      <c r="AF643" s="164">
        <f t="shared" si="615"/>
        <v>0</v>
      </c>
      <c r="AG643" s="164">
        <f t="shared" si="615"/>
        <v>0</v>
      </c>
      <c r="AH643" s="164">
        <f t="shared" si="615"/>
        <v>0</v>
      </c>
      <c r="AI643" s="164">
        <f t="shared" si="615"/>
        <v>0</v>
      </c>
      <c r="AJ643" s="164">
        <f t="shared" si="615"/>
        <v>0</v>
      </c>
      <c r="AK643" s="164">
        <f t="shared" si="615"/>
        <v>0</v>
      </c>
      <c r="AL643" s="164">
        <f t="shared" si="615"/>
        <v>0</v>
      </c>
      <c r="AM643" s="164">
        <f t="shared" si="615"/>
        <v>0</v>
      </c>
    </row>
    <row r="644" spans="1:39">
      <c r="A644" s="100"/>
      <c r="B644" s="100"/>
      <c r="C644" s="100"/>
      <c r="D644" s="179" t="str">
        <f t="shared" si="609"/>
        <v>Airfield Runway Apron Taxi</v>
      </c>
      <c r="E644" s="165" t="str">
        <f>H592</f>
        <v>Terminal International</v>
      </c>
      <c r="F644" s="165"/>
      <c r="G644" s="165" t="s">
        <v>88</v>
      </c>
      <c r="H644" s="121"/>
      <c r="I644" s="165"/>
      <c r="J644" s="165"/>
      <c r="K644" s="197"/>
      <c r="L644" s="197"/>
      <c r="M644" s="477"/>
      <c r="N644" s="230"/>
      <c r="O644" s="230">
        <f>N646*'Volume &amp; CPI forecast'!O$13</f>
        <v>0</v>
      </c>
      <c r="P644" s="230">
        <f>O646*'Volume &amp; CPI forecast'!P$13</f>
        <v>0</v>
      </c>
      <c r="Q644" s="230">
        <f>P646*'Volume &amp; CPI forecast'!Q$13</f>
        <v>0</v>
      </c>
      <c r="R644" s="230">
        <f>Q646*'Volume &amp; CPI forecast'!R$13</f>
        <v>0</v>
      </c>
      <c r="S644" s="230">
        <f>R646*'Volume &amp; CPI forecast'!S$13</f>
        <v>0</v>
      </c>
      <c r="T644" s="230">
        <f>S646*'Volume &amp; CPI forecast'!T$13</f>
        <v>0</v>
      </c>
      <c r="U644" s="230">
        <f>T646*'Volume &amp; CPI forecast'!U$13</f>
        <v>0</v>
      </c>
      <c r="V644" s="230">
        <f>U646*'Volume &amp; CPI forecast'!V$13</f>
        <v>0</v>
      </c>
      <c r="W644" s="230">
        <f>V646*'Volume &amp; CPI forecast'!W$13</f>
        <v>0</v>
      </c>
      <c r="X644" s="230">
        <f>W646*'Volume &amp; CPI forecast'!X$13</f>
        <v>0</v>
      </c>
      <c r="Y644" s="230">
        <f>X646*'Volume &amp; CPI forecast'!Y$13</f>
        <v>0</v>
      </c>
      <c r="Z644" s="230">
        <f>Y646*'Volume &amp; CPI forecast'!Z$13</f>
        <v>0</v>
      </c>
      <c r="AA644" s="230">
        <f>Z646*'Volume &amp; CPI forecast'!AA$13</f>
        <v>0</v>
      </c>
      <c r="AB644" s="230">
        <f>AA646*'Volume &amp; CPI forecast'!AB$13</f>
        <v>0</v>
      </c>
      <c r="AC644" s="230">
        <f>AB646*'Volume &amp; CPI forecast'!AC$13</f>
        <v>0</v>
      </c>
      <c r="AD644" s="230">
        <f>AC646*'Volume &amp; CPI forecast'!AD$13</f>
        <v>0</v>
      </c>
      <c r="AE644" s="230">
        <f>AD646*'Volume &amp; CPI forecast'!AE$13</f>
        <v>0</v>
      </c>
      <c r="AF644" s="230">
        <f>AE646*'Volume &amp; CPI forecast'!AF$13</f>
        <v>0</v>
      </c>
      <c r="AG644" s="230">
        <f>AF646*'Volume &amp; CPI forecast'!AG$13</f>
        <v>0</v>
      </c>
      <c r="AH644" s="230">
        <f>AG646*'Volume &amp; CPI forecast'!AH$13</f>
        <v>0</v>
      </c>
      <c r="AI644" s="230">
        <f>AH646*'Volume &amp; CPI forecast'!AI$13</f>
        <v>0</v>
      </c>
      <c r="AJ644" s="230">
        <f>AI646*'Volume &amp; CPI forecast'!AJ$13</f>
        <v>0</v>
      </c>
      <c r="AK644" s="230">
        <f>AJ646*'Volume &amp; CPI forecast'!AK$13</f>
        <v>0</v>
      </c>
      <c r="AL644" s="230">
        <f>AK646*'Volume &amp; CPI forecast'!AL$13</f>
        <v>0</v>
      </c>
      <c r="AM644" s="230">
        <f>AL646*'Volume &amp; CPI forecast'!AM$13</f>
        <v>0</v>
      </c>
    </row>
    <row r="645" spans="1:39">
      <c r="A645" s="100"/>
      <c r="B645" s="100"/>
      <c r="C645" s="100"/>
      <c r="D645" s="179" t="str">
        <f t="shared" si="609"/>
        <v>Airfield Runway Apron Taxi</v>
      </c>
      <c r="E645" s="165" t="str">
        <f>H592</f>
        <v>Terminal International</v>
      </c>
      <c r="F645" s="165"/>
      <c r="G645" s="165" t="s">
        <v>87</v>
      </c>
      <c r="H645" s="121"/>
      <c r="I645" s="165"/>
      <c r="J645" s="165"/>
      <c r="K645" s="197"/>
      <c r="L645" s="197"/>
      <c r="M645" s="477"/>
      <c r="N645" s="164"/>
      <c r="O645" s="164">
        <f t="shared" ref="O645:X645" si="616">IF(N641&gt;0,N643/AVERAGE(N641,N646)*O644,0)</f>
        <v>0</v>
      </c>
      <c r="P645" s="164">
        <f t="shared" si="616"/>
        <v>0</v>
      </c>
      <c r="Q645" s="164">
        <f t="shared" si="616"/>
        <v>0</v>
      </c>
      <c r="R645" s="164">
        <f t="shared" si="616"/>
        <v>0</v>
      </c>
      <c r="S645" s="164">
        <f t="shared" si="616"/>
        <v>0</v>
      </c>
      <c r="T645" s="164">
        <f t="shared" si="616"/>
        <v>0</v>
      </c>
      <c r="U645" s="164">
        <f t="shared" si="616"/>
        <v>0</v>
      </c>
      <c r="V645" s="164">
        <f t="shared" si="616"/>
        <v>0</v>
      </c>
      <c r="W645" s="164">
        <f t="shared" si="616"/>
        <v>0</v>
      </c>
      <c r="X645" s="164">
        <f t="shared" si="616"/>
        <v>0</v>
      </c>
      <c r="Y645" s="164">
        <f t="shared" ref="Y645:AM645" si="617">IF(X641&gt;0,X643/AVERAGE(X641,X646)*Y644,0)</f>
        <v>0</v>
      </c>
      <c r="Z645" s="164">
        <f t="shared" si="617"/>
        <v>0</v>
      </c>
      <c r="AA645" s="164">
        <f t="shared" si="617"/>
        <v>0</v>
      </c>
      <c r="AB645" s="164">
        <f t="shared" si="617"/>
        <v>0</v>
      </c>
      <c r="AC645" s="164">
        <f t="shared" si="617"/>
        <v>0</v>
      </c>
      <c r="AD645" s="164">
        <f t="shared" si="617"/>
        <v>0</v>
      </c>
      <c r="AE645" s="164">
        <f t="shared" si="617"/>
        <v>0</v>
      </c>
      <c r="AF645" s="164">
        <f t="shared" si="617"/>
        <v>0</v>
      </c>
      <c r="AG645" s="164">
        <f t="shared" si="617"/>
        <v>0</v>
      </c>
      <c r="AH645" s="164">
        <f t="shared" si="617"/>
        <v>0</v>
      </c>
      <c r="AI645" s="164">
        <f t="shared" si="617"/>
        <v>0</v>
      </c>
      <c r="AJ645" s="164">
        <f t="shared" si="617"/>
        <v>0</v>
      </c>
      <c r="AK645" s="164">
        <f t="shared" si="617"/>
        <v>0</v>
      </c>
      <c r="AL645" s="164">
        <f t="shared" si="617"/>
        <v>0</v>
      </c>
      <c r="AM645" s="164">
        <f t="shared" si="617"/>
        <v>0</v>
      </c>
    </row>
    <row r="646" spans="1:39">
      <c r="A646" s="100"/>
      <c r="B646" s="100"/>
      <c r="C646" s="100"/>
      <c r="D646" s="179" t="str">
        <f t="shared" si="609"/>
        <v>Airfield Runway Apron Taxi</v>
      </c>
      <c r="E646" s="165" t="str">
        <f>H592</f>
        <v>Terminal International</v>
      </c>
      <c r="F646" s="165"/>
      <c r="G646" s="200" t="s">
        <v>76</v>
      </c>
      <c r="H646" s="201"/>
      <c r="I646" s="200"/>
      <c r="J646" s="200"/>
      <c r="K646" s="199">
        <f>K261</f>
        <v>0</v>
      </c>
      <c r="L646" s="199">
        <f>L261</f>
        <v>0</v>
      </c>
      <c r="M646" s="527">
        <f>M261</f>
        <v>0</v>
      </c>
      <c r="N646" s="198">
        <f>N261</f>
        <v>0</v>
      </c>
      <c r="O646" s="198">
        <f t="shared" ref="O646:AM646" si="618">SUM(O641:O642,O644)-SUM(O643,O645)</f>
        <v>0</v>
      </c>
      <c r="P646" s="198">
        <f t="shared" si="618"/>
        <v>0</v>
      </c>
      <c r="Q646" s="198">
        <f t="shared" si="618"/>
        <v>0</v>
      </c>
      <c r="R646" s="198">
        <f t="shared" si="618"/>
        <v>0</v>
      </c>
      <c r="S646" s="198">
        <f t="shared" si="618"/>
        <v>0</v>
      </c>
      <c r="T646" s="198">
        <f t="shared" si="618"/>
        <v>0</v>
      </c>
      <c r="U646" s="198">
        <f t="shared" si="618"/>
        <v>0</v>
      </c>
      <c r="V646" s="198">
        <f t="shared" si="618"/>
        <v>0</v>
      </c>
      <c r="W646" s="198">
        <f t="shared" si="618"/>
        <v>0</v>
      </c>
      <c r="X646" s="198">
        <f t="shared" si="618"/>
        <v>0</v>
      </c>
      <c r="Y646" s="198">
        <f t="shared" si="618"/>
        <v>0</v>
      </c>
      <c r="Z646" s="198">
        <f t="shared" si="618"/>
        <v>0</v>
      </c>
      <c r="AA646" s="198">
        <f t="shared" si="618"/>
        <v>0</v>
      </c>
      <c r="AB646" s="198">
        <f t="shared" si="618"/>
        <v>0</v>
      </c>
      <c r="AC646" s="198">
        <f t="shared" si="618"/>
        <v>0</v>
      </c>
      <c r="AD646" s="198">
        <f t="shared" si="618"/>
        <v>0</v>
      </c>
      <c r="AE646" s="198">
        <f t="shared" si="618"/>
        <v>0</v>
      </c>
      <c r="AF646" s="198">
        <f t="shared" si="618"/>
        <v>0</v>
      </c>
      <c r="AG646" s="198">
        <f t="shared" si="618"/>
        <v>0</v>
      </c>
      <c r="AH646" s="198">
        <f t="shared" si="618"/>
        <v>0</v>
      </c>
      <c r="AI646" s="198">
        <f t="shared" si="618"/>
        <v>0</v>
      </c>
      <c r="AJ646" s="198">
        <f t="shared" si="618"/>
        <v>0</v>
      </c>
      <c r="AK646" s="198">
        <f t="shared" si="618"/>
        <v>0</v>
      </c>
      <c r="AL646" s="198">
        <f t="shared" si="618"/>
        <v>0</v>
      </c>
      <c r="AM646" s="198">
        <f t="shared" si="618"/>
        <v>0</v>
      </c>
    </row>
    <row r="647" spans="1:39">
      <c r="A647" s="100"/>
      <c r="B647" s="100"/>
      <c r="C647" s="100"/>
      <c r="D647" s="179"/>
      <c r="E647" s="165"/>
      <c r="F647" s="165"/>
      <c r="G647" s="165"/>
      <c r="H647" s="121"/>
      <c r="I647" s="165"/>
      <c r="J647" s="165"/>
      <c r="K647" s="197"/>
      <c r="L647" s="197"/>
      <c r="M647" s="477"/>
      <c r="N647" s="164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</row>
    <row r="648" spans="1:39">
      <c r="A648" s="100"/>
      <c r="B648" s="100"/>
      <c r="C648" s="100"/>
      <c r="D648" s="179"/>
      <c r="E648" s="165"/>
      <c r="F648" s="165"/>
      <c r="G648" s="206" t="s">
        <v>32</v>
      </c>
      <c r="H648" s="121"/>
      <c r="I648" s="165"/>
      <c r="J648" s="165"/>
      <c r="K648" s="204"/>
      <c r="L648" s="197"/>
      <c r="M648" s="477"/>
      <c r="N648" s="164"/>
      <c r="O648" s="164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  <c r="AA648" s="165"/>
      <c r="AB648" s="165"/>
      <c r="AC648" s="165"/>
      <c r="AD648" s="165"/>
      <c r="AE648" s="165"/>
      <c r="AF648" s="165"/>
      <c r="AG648" s="165"/>
      <c r="AH648" s="165"/>
      <c r="AI648" s="165"/>
      <c r="AJ648" s="165"/>
      <c r="AK648" s="165"/>
      <c r="AL648" s="165"/>
      <c r="AM648" s="165"/>
    </row>
    <row r="649" spans="1:39">
      <c r="A649" s="100"/>
      <c r="B649" s="100"/>
      <c r="C649" s="100"/>
      <c r="D649" s="179"/>
      <c r="E649" s="165"/>
      <c r="F649" s="165"/>
      <c r="G649" s="205"/>
      <c r="H649" s="121"/>
      <c r="I649" s="165"/>
      <c r="J649" s="165"/>
      <c r="K649" s="204"/>
      <c r="L649" s="197"/>
      <c r="M649" s="477"/>
      <c r="N649" s="164"/>
      <c r="O649" s="164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  <c r="AA649" s="165"/>
      <c r="AB649" s="165"/>
      <c r="AC649" s="165"/>
      <c r="AD649" s="165"/>
      <c r="AE649" s="165"/>
      <c r="AF649" s="165"/>
      <c r="AG649" s="165"/>
      <c r="AH649" s="165"/>
      <c r="AI649" s="165"/>
      <c r="AJ649" s="165"/>
      <c r="AK649" s="165"/>
      <c r="AL649" s="165"/>
      <c r="AM649" s="165"/>
    </row>
    <row r="650" spans="1:39">
      <c r="A650" s="100"/>
      <c r="B650" s="100"/>
      <c r="C650" s="100"/>
      <c r="D650" s="179" t="str">
        <f t="shared" ref="D650:D655" si="619">$G$554</f>
        <v>Infrastructure</v>
      </c>
      <c r="E650" s="165" t="str">
        <f>H592</f>
        <v>Terminal International</v>
      </c>
      <c r="F650" s="165"/>
      <c r="G650" s="165" t="s">
        <v>80</v>
      </c>
      <c r="H650" s="121"/>
      <c r="I650" s="165"/>
      <c r="J650" s="165"/>
      <c r="K650" s="530">
        <f>K655</f>
        <v>0</v>
      </c>
      <c r="L650" s="530">
        <f>L655</f>
        <v>0</v>
      </c>
      <c r="M650" s="531"/>
      <c r="N650" s="164"/>
      <c r="O650" s="164">
        <f t="shared" ref="O650:Y650" si="620">N655</f>
        <v>42831.267094524832</v>
      </c>
      <c r="P650" s="164">
        <f t="shared" si="620"/>
        <v>162290.004519087</v>
      </c>
      <c r="Q650" s="164">
        <f t="shared" si="620"/>
        <v>181942.09422328317</v>
      </c>
      <c r="R650" s="164">
        <f t="shared" si="620"/>
        <v>163718.14138638505</v>
      </c>
      <c r="S650" s="164">
        <f t="shared" si="620"/>
        <v>143724.89653894087</v>
      </c>
      <c r="T650" s="164">
        <f t="shared" si="620"/>
        <v>199424.3495087192</v>
      </c>
      <c r="U650" s="164">
        <f t="shared" si="620"/>
        <v>177832.41922337774</v>
      </c>
      <c r="V650" s="164">
        <f t="shared" si="620"/>
        <v>156413.00841799931</v>
      </c>
      <c r="W650" s="164">
        <f t="shared" si="620"/>
        <v>134462.4390351336</v>
      </c>
      <c r="X650" s="164">
        <f t="shared" si="620"/>
        <v>111970.29521459017</v>
      </c>
      <c r="Y650" s="164">
        <f t="shared" si="620"/>
        <v>88925.833800964858</v>
      </c>
      <c r="Z650" s="164">
        <f t="shared" ref="Z650:AM650" si="621">Y655</f>
        <v>71538.668952930966</v>
      </c>
      <c r="AA650" s="164">
        <f t="shared" si="621"/>
        <v>59420.496482325005</v>
      </c>
      <c r="AB650" s="164">
        <f t="shared" si="621"/>
        <v>48952.376518087185</v>
      </c>
      <c r="AC650" s="164">
        <f t="shared" si="621"/>
        <v>40138.064321102072</v>
      </c>
      <c r="AD650" s="164">
        <f t="shared" si="621"/>
        <v>40706.481901826388</v>
      </c>
      <c r="AE650" s="164">
        <f t="shared" si="621"/>
        <v>41503.899857436125</v>
      </c>
      <c r="AF650" s="164">
        <f t="shared" si="621"/>
        <v>42321.23892849913</v>
      </c>
      <c r="AG650" s="164">
        <f t="shared" si="621"/>
        <v>43159.011203491158</v>
      </c>
      <c r="AH650" s="164">
        <f t="shared" si="621"/>
        <v>44017.727515494989</v>
      </c>
      <c r="AI650" s="164">
        <f t="shared" si="621"/>
        <v>44897.911469323364</v>
      </c>
      <c r="AJ650" s="164">
        <f t="shared" si="621"/>
        <v>46014.935203089677</v>
      </c>
      <c r="AK650" s="164">
        <f t="shared" si="621"/>
        <v>47165.308583166916</v>
      </c>
      <c r="AL650" s="164">
        <f t="shared" si="621"/>
        <v>47165.308583166916</v>
      </c>
      <c r="AM650" s="164">
        <f t="shared" si="621"/>
        <v>47165.308583166916</v>
      </c>
    </row>
    <row r="651" spans="1:39">
      <c r="A651" s="100"/>
      <c r="B651" s="100"/>
      <c r="C651" s="100"/>
      <c r="D651" s="179" t="str">
        <f t="shared" si="619"/>
        <v>Infrastructure</v>
      </c>
      <c r="E651" s="165" t="str">
        <f>H592</f>
        <v>Terminal International</v>
      </c>
      <c r="F651" s="165"/>
      <c r="G651" s="165" t="s">
        <v>83</v>
      </c>
      <c r="H651" s="121"/>
      <c r="I651" s="165"/>
      <c r="J651" s="165"/>
      <c r="K651" s="532"/>
      <c r="L651" s="532"/>
      <c r="M651" s="533"/>
      <c r="N651" s="164"/>
      <c r="O651" s="164">
        <f t="shared" ref="O651:X651" si="622">SUMIFS(O$27:O$44,$J$27:$J$44,$G648,$K$27:$K$44,$G651)</f>
        <v>153317.35070076148</v>
      </c>
      <c r="P651" s="164">
        <f t="shared" si="622"/>
        <v>57767.686287194738</v>
      </c>
      <c r="Q651" s="164">
        <f t="shared" si="622"/>
        <v>21109.630164756483</v>
      </c>
      <c r="R651" s="164">
        <f t="shared" si="622"/>
        <v>21597.664341968761</v>
      </c>
      <c r="S651" s="164">
        <f t="shared" si="622"/>
        <v>98558.934654055818</v>
      </c>
      <c r="T651" s="164">
        <f t="shared" si="622"/>
        <v>0</v>
      </c>
      <c r="U651" s="164">
        <f t="shared" si="622"/>
        <v>0</v>
      </c>
      <c r="V651" s="164">
        <f t="shared" si="622"/>
        <v>0</v>
      </c>
      <c r="W651" s="164">
        <f t="shared" si="622"/>
        <v>0</v>
      </c>
      <c r="X651" s="164">
        <f t="shared" si="622"/>
        <v>0</v>
      </c>
      <c r="Y651" s="164">
        <f>SUMIFS(Y$27:Y$44,$J$27:$J$44,$G648,$K$27:$K$44,$G651)</f>
        <v>0</v>
      </c>
      <c r="Z651" s="164">
        <f t="shared" ref="Z651:AM651" si="623">SUMIFS(Z$27:Z$44,$J$27:$J$44,$G648,$K$27:$K$44,$G651)</f>
        <v>0</v>
      </c>
      <c r="AA651" s="164">
        <f t="shared" si="623"/>
        <v>0</v>
      </c>
      <c r="AB651" s="164">
        <f t="shared" si="623"/>
        <v>0</v>
      </c>
      <c r="AC651" s="164">
        <f t="shared" si="623"/>
        <v>0</v>
      </c>
      <c r="AD651" s="164">
        <f t="shared" si="623"/>
        <v>0</v>
      </c>
      <c r="AE651" s="164">
        <f t="shared" si="623"/>
        <v>0</v>
      </c>
      <c r="AF651" s="164">
        <f t="shared" si="623"/>
        <v>0</v>
      </c>
      <c r="AG651" s="164">
        <f t="shared" si="623"/>
        <v>0</v>
      </c>
      <c r="AH651" s="164">
        <f t="shared" si="623"/>
        <v>0</v>
      </c>
      <c r="AI651" s="164">
        <f t="shared" si="623"/>
        <v>0</v>
      </c>
      <c r="AJ651" s="164">
        <f t="shared" si="623"/>
        <v>0</v>
      </c>
      <c r="AK651" s="164">
        <f t="shared" si="623"/>
        <v>0</v>
      </c>
      <c r="AL651" s="164">
        <f t="shared" si="623"/>
        <v>0</v>
      </c>
      <c r="AM651" s="164">
        <f t="shared" si="623"/>
        <v>0</v>
      </c>
    </row>
    <row r="652" spans="1:39">
      <c r="A652" s="100"/>
      <c r="B652" s="100"/>
      <c r="C652" s="100"/>
      <c r="D652" s="179" t="str">
        <f t="shared" si="619"/>
        <v>Infrastructure</v>
      </c>
      <c r="E652" s="165" t="str">
        <f>H592</f>
        <v>Terminal International</v>
      </c>
      <c r="F652" s="165"/>
      <c r="G652" s="165" t="s">
        <v>78</v>
      </c>
      <c r="H652" s="121"/>
      <c r="I652" s="165"/>
      <c r="J652" s="165"/>
      <c r="K652" s="197"/>
      <c r="L652" s="197"/>
      <c r="M652" s="477"/>
      <c r="N652" s="164"/>
      <c r="O652" s="164">
        <f t="shared" ref="O652:X652" si="624">O268+SUMIFS(O$27:O$44,$J$27:$J$44,$G648,$K$27:$K$44,$G652)</f>
        <v>34758.069885184341</v>
      </c>
      <c r="P652" s="164">
        <f t="shared" si="624"/>
        <v>40368.675959004206</v>
      </c>
      <c r="Q652" s="164">
        <f t="shared" si="624"/>
        <v>42258.227480810805</v>
      </c>
      <c r="R652" s="164">
        <f t="shared" si="624"/>
        <v>44188.354223450398</v>
      </c>
      <c r="S652" s="164">
        <f t="shared" si="624"/>
        <v>45010.094691455386</v>
      </c>
      <c r="T652" s="164">
        <f t="shared" si="624"/>
        <v>25269.637438172576</v>
      </c>
      <c r="U652" s="164">
        <f t="shared" si="624"/>
        <v>25269.637438172576</v>
      </c>
      <c r="V652" s="164">
        <f t="shared" si="624"/>
        <v>25269.637438172576</v>
      </c>
      <c r="W652" s="164">
        <f t="shared" si="624"/>
        <v>25269.637438172576</v>
      </c>
      <c r="X652" s="164">
        <f t="shared" si="624"/>
        <v>25269.637438172576</v>
      </c>
      <c r="Y652" s="164">
        <f>Y268+SUMIFS(Y$27:Y$44,$J$27:$J$44,$G648,$K$27:$K$44,$G652)</f>
        <v>19051.035710994125</v>
      </c>
      <c r="Z652" s="164">
        <f t="shared" ref="Z652:AM652" si="625">Z268+SUMIFS(Z$27:Z$44,$J$27:$J$44,$G648,$K$27:$K$44,$G652)</f>
        <v>13481.970275899161</v>
      </c>
      <c r="AA652" s="164">
        <f t="shared" si="625"/>
        <v>11647.771627759819</v>
      </c>
      <c r="AB652" s="164">
        <f t="shared" si="625"/>
        <v>9775.0548080095505</v>
      </c>
      <c r="AC652" s="164">
        <f t="shared" si="625"/>
        <v>214.83544318443447</v>
      </c>
      <c r="AD652" s="164">
        <f t="shared" si="625"/>
        <v>214.83544318443447</v>
      </c>
      <c r="AE652" s="164">
        <f t="shared" si="625"/>
        <v>214.83544318443447</v>
      </c>
      <c r="AF652" s="164">
        <f t="shared" si="625"/>
        <v>214.83544318443447</v>
      </c>
      <c r="AG652" s="164">
        <f t="shared" si="625"/>
        <v>214.83544318443447</v>
      </c>
      <c r="AH652" s="164">
        <f t="shared" si="625"/>
        <v>214.83544318443447</v>
      </c>
      <c r="AI652" s="164">
        <f t="shared" si="625"/>
        <v>0</v>
      </c>
      <c r="AJ652" s="164">
        <f t="shared" si="625"/>
        <v>0</v>
      </c>
      <c r="AK652" s="164">
        <f t="shared" si="625"/>
        <v>0</v>
      </c>
      <c r="AL652" s="164">
        <f t="shared" si="625"/>
        <v>0</v>
      </c>
      <c r="AM652" s="164">
        <f t="shared" si="625"/>
        <v>0</v>
      </c>
    </row>
    <row r="653" spans="1:39">
      <c r="A653" s="100"/>
      <c r="B653" s="100"/>
      <c r="C653" s="100"/>
      <c r="D653" s="179" t="str">
        <f t="shared" si="619"/>
        <v>Infrastructure</v>
      </c>
      <c r="E653" s="165" t="str">
        <f>H592</f>
        <v>Terminal International</v>
      </c>
      <c r="F653" s="165"/>
      <c r="G653" s="165" t="s">
        <v>88</v>
      </c>
      <c r="H653" s="121"/>
      <c r="I653" s="165"/>
      <c r="J653" s="165"/>
      <c r="K653" s="197"/>
      <c r="L653" s="197"/>
      <c r="M653" s="477"/>
      <c r="N653" s="230"/>
      <c r="O653" s="230">
        <f>N655*'Volume &amp; CPI forecast'!O$13</f>
        <v>899.45660898502149</v>
      </c>
      <c r="P653" s="230">
        <f>O655*'Volume &amp; CPI forecast'!P$13</f>
        <v>3408.0900949008274</v>
      </c>
      <c r="Q653" s="230">
        <f>P655*'Volume &amp; CPI forecast'!Q$13</f>
        <v>3820.7839786889467</v>
      </c>
      <c r="R653" s="230">
        <f>Q655*'Volume &amp; CPI forecast'!R$13</f>
        <v>3438.0809691140862</v>
      </c>
      <c r="S653" s="230">
        <f>R655*'Volume &amp; CPI forecast'!S$13</f>
        <v>3018.2228273177584</v>
      </c>
      <c r="T653" s="230">
        <f>S655*'Volume &amp; CPI forecast'!T$13</f>
        <v>4985.6087377179801</v>
      </c>
      <c r="U653" s="230">
        <f>T655*'Volume &amp; CPI forecast'!U$13</f>
        <v>4445.8104805844441</v>
      </c>
      <c r="V653" s="230">
        <f>U655*'Volume &amp; CPI forecast'!V$13</f>
        <v>3910.3252104499829</v>
      </c>
      <c r="W653" s="230">
        <f>V655*'Volume &amp; CPI forecast'!W$13</f>
        <v>3361.5609758783403</v>
      </c>
      <c r="X653" s="230">
        <f>W655*'Volume &amp; CPI forecast'!X$13</f>
        <v>2799.2573803647542</v>
      </c>
      <c r="Y653" s="230">
        <f>X655*'Volume &amp; CPI forecast'!Y$13</f>
        <v>2223.1458450241216</v>
      </c>
      <c r="Z653" s="230">
        <f>Y655*'Volume &amp; CPI forecast'!Z$13</f>
        <v>1788.4667238232742</v>
      </c>
      <c r="AA653" s="230">
        <f>Z655*'Volume &amp; CPI forecast'!AA$13</f>
        <v>1485.5124120581252</v>
      </c>
      <c r="AB653" s="230">
        <f>AA655*'Volume &amp; CPI forecast'!AB$13</f>
        <v>1223.8094129521796</v>
      </c>
      <c r="AC653" s="230">
        <f>AB655*'Volume &amp; CPI forecast'!AC$13</f>
        <v>1003.4516080275519</v>
      </c>
      <c r="AD653" s="230">
        <f>AC655*'Volume &amp; CPI forecast'!AD$13</f>
        <v>1017.6620475456598</v>
      </c>
      <c r="AE653" s="230">
        <f>AD655*'Volume &amp; CPI forecast'!AE$13</f>
        <v>1037.5974964359032</v>
      </c>
      <c r="AF653" s="230">
        <f>AE655*'Volume &amp; CPI forecast'!AF$13</f>
        <v>1058.0309732124783</v>
      </c>
      <c r="AG653" s="230">
        <f>AF655*'Volume &amp; CPI forecast'!AG$13</f>
        <v>1078.9752800872791</v>
      </c>
      <c r="AH653" s="230">
        <f>AG655*'Volume &amp; CPI forecast'!AH$13</f>
        <v>1100.4431878873747</v>
      </c>
      <c r="AI653" s="230">
        <f>AH655*'Volume &amp; CPI forecast'!AI$13</f>
        <v>1122.4477867330841</v>
      </c>
      <c r="AJ653" s="230">
        <f>AI655*'Volume &amp; CPI forecast'!AJ$13</f>
        <v>1150.373380077242</v>
      </c>
      <c r="AK653" s="230">
        <f>AJ655*'Volume &amp; CPI forecast'!AK$13</f>
        <v>0</v>
      </c>
      <c r="AL653" s="230">
        <f>AK655*'Volume &amp; CPI forecast'!AL$13</f>
        <v>0</v>
      </c>
      <c r="AM653" s="230">
        <f>AL655*'Volume &amp; CPI forecast'!AM$13</f>
        <v>0</v>
      </c>
    </row>
    <row r="654" spans="1:39">
      <c r="A654" s="100"/>
      <c r="B654" s="100"/>
      <c r="C654" s="100"/>
      <c r="D654" s="179" t="str">
        <f t="shared" si="619"/>
        <v>Infrastructure</v>
      </c>
      <c r="E654" s="165" t="str">
        <f>H592</f>
        <v>Terminal International</v>
      </c>
      <c r="F654" s="165"/>
      <c r="G654" s="165" t="s">
        <v>87</v>
      </c>
      <c r="H654" s="121"/>
      <c r="I654" s="165"/>
      <c r="J654" s="165"/>
      <c r="K654" s="197"/>
      <c r="L654" s="197"/>
      <c r="M654" s="477"/>
      <c r="N654" s="164"/>
      <c r="O654" s="164">
        <f t="shared" ref="O654:X654" si="626">IF(N650&gt;0,N652/AVERAGE(N650,N655)*O653,0)</f>
        <v>0</v>
      </c>
      <c r="P654" s="164">
        <f t="shared" si="626"/>
        <v>1155.0107188951979</v>
      </c>
      <c r="Q654" s="164">
        <f t="shared" si="626"/>
        <v>896.13949953275596</v>
      </c>
      <c r="R654" s="164">
        <f t="shared" si="626"/>
        <v>840.63593507662245</v>
      </c>
      <c r="S654" s="164">
        <f t="shared" si="626"/>
        <v>867.60982013985347</v>
      </c>
      <c r="T654" s="164">
        <f t="shared" si="626"/>
        <v>1307.9015848868648</v>
      </c>
      <c r="U654" s="164">
        <f t="shared" si="626"/>
        <v>595.5838477902887</v>
      </c>
      <c r="V654" s="164">
        <f t="shared" si="626"/>
        <v>591.2571551431131</v>
      </c>
      <c r="W654" s="164">
        <f t="shared" si="626"/>
        <v>584.0673582492177</v>
      </c>
      <c r="X654" s="164">
        <f t="shared" si="626"/>
        <v>574.08135581748809</v>
      </c>
      <c r="Y654" s="164">
        <f t="shared" ref="Y654:AM654" si="627">IF(X650&gt;0,X652/AVERAGE(X650,X655)*Y653,0)</f>
        <v>559.27498206388623</v>
      </c>
      <c r="Z654" s="164">
        <f t="shared" si="627"/>
        <v>424.66891853007837</v>
      </c>
      <c r="AA654" s="164">
        <f t="shared" si="627"/>
        <v>305.86074853612655</v>
      </c>
      <c r="AB654" s="164">
        <f t="shared" si="627"/>
        <v>263.06680192774036</v>
      </c>
      <c r="AC654" s="164">
        <f t="shared" si="627"/>
        <v>220.19858411880091</v>
      </c>
      <c r="AD654" s="164">
        <f t="shared" si="627"/>
        <v>5.4086487514836179</v>
      </c>
      <c r="AE654" s="164">
        <f t="shared" si="627"/>
        <v>5.4229821884692004</v>
      </c>
      <c r="AF654" s="164">
        <f t="shared" si="627"/>
        <v>5.4232550360202838</v>
      </c>
      <c r="AG654" s="164">
        <f t="shared" si="627"/>
        <v>5.4235248990187461</v>
      </c>
      <c r="AH654" s="164">
        <f t="shared" si="627"/>
        <v>5.4237908745624503</v>
      </c>
      <c r="AI654" s="164">
        <f t="shared" si="627"/>
        <v>5.4240529667759052</v>
      </c>
      <c r="AJ654" s="164">
        <f t="shared" si="627"/>
        <v>0</v>
      </c>
      <c r="AK654" s="164">
        <f t="shared" si="627"/>
        <v>0</v>
      </c>
      <c r="AL654" s="164">
        <f t="shared" si="627"/>
        <v>0</v>
      </c>
      <c r="AM654" s="164">
        <f t="shared" si="627"/>
        <v>0</v>
      </c>
    </row>
    <row r="655" spans="1:39">
      <c r="A655" s="100"/>
      <c r="B655" s="100"/>
      <c r="C655" s="100"/>
      <c r="D655" s="179" t="str">
        <f t="shared" si="619"/>
        <v>Infrastructure</v>
      </c>
      <c r="E655" s="165" t="str">
        <f>H592</f>
        <v>Terminal International</v>
      </c>
      <c r="F655" s="165"/>
      <c r="G655" s="200" t="s">
        <v>76</v>
      </c>
      <c r="H655" s="201"/>
      <c r="I655" s="200"/>
      <c r="J655" s="200"/>
      <c r="K655" s="199">
        <f>K270</f>
        <v>0</v>
      </c>
      <c r="L655" s="199">
        <f>L270</f>
        <v>0</v>
      </c>
      <c r="M655" s="527">
        <f>M270</f>
        <v>0</v>
      </c>
      <c r="N655" s="198">
        <f>N270</f>
        <v>42831.267094524832</v>
      </c>
      <c r="O655" s="198">
        <f t="shared" ref="O655:AM655" si="628">SUM(O650:O651,O653)-SUM(O652,O654)</f>
        <v>162290.004519087</v>
      </c>
      <c r="P655" s="198">
        <f t="shared" si="628"/>
        <v>181942.09422328317</v>
      </c>
      <c r="Q655" s="198">
        <f t="shared" si="628"/>
        <v>163718.14138638505</v>
      </c>
      <c r="R655" s="198">
        <f t="shared" si="628"/>
        <v>143724.89653894087</v>
      </c>
      <c r="S655" s="198">
        <f t="shared" si="628"/>
        <v>199424.3495087192</v>
      </c>
      <c r="T655" s="198">
        <f t="shared" si="628"/>
        <v>177832.41922337774</v>
      </c>
      <c r="U655" s="198">
        <f t="shared" si="628"/>
        <v>156413.00841799931</v>
      </c>
      <c r="V655" s="198">
        <f t="shared" si="628"/>
        <v>134462.4390351336</v>
      </c>
      <c r="W655" s="198">
        <f t="shared" si="628"/>
        <v>111970.29521459017</v>
      </c>
      <c r="X655" s="198">
        <f t="shared" si="628"/>
        <v>88925.833800964858</v>
      </c>
      <c r="Y655" s="198">
        <f t="shared" si="628"/>
        <v>71538.668952930966</v>
      </c>
      <c r="Z655" s="198">
        <f t="shared" si="628"/>
        <v>59420.496482325005</v>
      </c>
      <c r="AA655" s="198">
        <f t="shared" si="628"/>
        <v>48952.376518087185</v>
      </c>
      <c r="AB655" s="198">
        <f t="shared" si="628"/>
        <v>40138.064321102072</v>
      </c>
      <c r="AC655" s="198">
        <f t="shared" si="628"/>
        <v>40706.481901826388</v>
      </c>
      <c r="AD655" s="198">
        <f t="shared" si="628"/>
        <v>41503.899857436125</v>
      </c>
      <c r="AE655" s="198">
        <f t="shared" si="628"/>
        <v>42321.23892849913</v>
      </c>
      <c r="AF655" s="198">
        <f t="shared" si="628"/>
        <v>43159.011203491158</v>
      </c>
      <c r="AG655" s="198">
        <f t="shared" si="628"/>
        <v>44017.727515494989</v>
      </c>
      <c r="AH655" s="198">
        <f t="shared" si="628"/>
        <v>44897.911469323364</v>
      </c>
      <c r="AI655" s="198">
        <f t="shared" si="628"/>
        <v>46014.935203089677</v>
      </c>
      <c r="AJ655" s="198">
        <f t="shared" si="628"/>
        <v>47165.308583166916</v>
      </c>
      <c r="AK655" s="198">
        <f t="shared" si="628"/>
        <v>47165.308583166916</v>
      </c>
      <c r="AL655" s="198">
        <f t="shared" si="628"/>
        <v>47165.308583166916</v>
      </c>
      <c r="AM655" s="198">
        <f t="shared" si="628"/>
        <v>47165.308583166916</v>
      </c>
    </row>
    <row r="656" spans="1:39">
      <c r="A656" s="100"/>
      <c r="B656" s="100"/>
      <c r="C656" s="100"/>
      <c r="D656" s="179"/>
      <c r="E656" s="165"/>
      <c r="F656" s="165"/>
      <c r="G656" s="165"/>
      <c r="H656" s="121"/>
      <c r="I656" s="165"/>
      <c r="J656" s="165"/>
      <c r="K656" s="197"/>
      <c r="L656" s="197"/>
      <c r="M656" s="477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</row>
    <row r="657" spans="1:39">
      <c r="A657" s="100"/>
      <c r="B657" s="100"/>
      <c r="C657" s="100"/>
      <c r="D657" s="179"/>
      <c r="E657" s="165"/>
      <c r="F657" s="165"/>
      <c r="G657" s="206" t="s">
        <v>31</v>
      </c>
      <c r="H657" s="121"/>
      <c r="I657" s="165"/>
      <c r="J657" s="165"/>
      <c r="K657" s="204"/>
      <c r="L657" s="197"/>
      <c r="M657" s="477"/>
      <c r="N657" s="164"/>
      <c r="O657" s="164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</row>
    <row r="658" spans="1:39">
      <c r="A658" s="100"/>
      <c r="B658" s="100"/>
      <c r="C658" s="100"/>
      <c r="D658" s="179"/>
      <c r="E658" s="165"/>
      <c r="F658" s="165"/>
      <c r="G658" s="205"/>
      <c r="H658" s="121"/>
      <c r="I658" s="165"/>
      <c r="J658" s="165"/>
      <c r="K658" s="204"/>
      <c r="L658" s="197"/>
      <c r="M658" s="477"/>
      <c r="N658" s="164"/>
      <c r="O658" s="164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</row>
    <row r="659" spans="1:39">
      <c r="A659" s="100"/>
      <c r="B659" s="100"/>
      <c r="C659" s="100"/>
      <c r="D659" s="179" t="str">
        <f t="shared" ref="D659:D664" si="629">$G$563</f>
        <v>Terminal facilities</v>
      </c>
      <c r="E659" s="165" t="str">
        <f>H592</f>
        <v>Terminal International</v>
      </c>
      <c r="F659" s="165"/>
      <c r="G659" s="165" t="s">
        <v>80</v>
      </c>
      <c r="H659" s="121"/>
      <c r="I659" s="165"/>
      <c r="J659" s="165"/>
      <c r="K659" s="530">
        <f>K664</f>
        <v>0</v>
      </c>
      <c r="L659" s="530">
        <f>L664</f>
        <v>0</v>
      </c>
      <c r="M659" s="531"/>
      <c r="N659" s="164"/>
      <c r="O659" s="164">
        <f t="shared" ref="O659:Y659" si="630">N664</f>
        <v>116169348.00098437</v>
      </c>
      <c r="P659" s="164">
        <f t="shared" si="630"/>
        <v>114985544.52423353</v>
      </c>
      <c r="Q659" s="164">
        <f t="shared" si="630"/>
        <v>117655728.71036215</v>
      </c>
      <c r="R659" s="164">
        <f t="shared" si="630"/>
        <v>115689553.80028912</v>
      </c>
      <c r="S659" s="164">
        <f t="shared" si="630"/>
        <v>118509089.28487998</v>
      </c>
      <c r="T659" s="164">
        <f t="shared" si="630"/>
        <v>116324504.99329843</v>
      </c>
      <c r="U659" s="164">
        <f t="shared" si="630"/>
        <v>114468593.99022564</v>
      </c>
      <c r="V659" s="164">
        <f t="shared" si="630"/>
        <v>112567146.48772708</v>
      </c>
      <c r="W659" s="164">
        <f t="shared" si="630"/>
        <v>110618201.56727952</v>
      </c>
      <c r="X659" s="164">
        <f t="shared" si="630"/>
        <v>108620574.54155722</v>
      </c>
      <c r="Y659" s="164">
        <f t="shared" si="630"/>
        <v>106573050.9074854</v>
      </c>
      <c r="Z659" s="164">
        <f t="shared" ref="Z659:AM659" si="631">Y664</f>
        <v>104515853.78605221</v>
      </c>
      <c r="AA659" s="164">
        <f t="shared" si="631"/>
        <v>102416543.92556889</v>
      </c>
      <c r="AB659" s="164">
        <f t="shared" si="631"/>
        <v>100271604.91169898</v>
      </c>
      <c r="AC659" s="164">
        <f t="shared" si="631"/>
        <v>98103322.398597091</v>
      </c>
      <c r="AD659" s="164">
        <f t="shared" si="631"/>
        <v>95891941.222164348</v>
      </c>
      <c r="AE659" s="164">
        <f t="shared" si="631"/>
        <v>93627638.477411374</v>
      </c>
      <c r="AF659" s="164">
        <f t="shared" si="631"/>
        <v>91311842.198480934</v>
      </c>
      <c r="AG659" s="164">
        <f t="shared" si="631"/>
        <v>88939257.56674847</v>
      </c>
      <c r="AH659" s="164">
        <f t="shared" si="631"/>
        <v>86507453.752805889</v>
      </c>
      <c r="AI659" s="164">
        <f t="shared" si="631"/>
        <v>84014934.119723052</v>
      </c>
      <c r="AJ659" s="164">
        <f t="shared" si="631"/>
        <v>81815041.438793048</v>
      </c>
      <c r="AK659" s="164">
        <f t="shared" si="631"/>
        <v>79568751.657063141</v>
      </c>
      <c r="AL659" s="164">
        <f t="shared" si="631"/>
        <v>75380405.434804454</v>
      </c>
      <c r="AM659" s="164">
        <f t="shared" si="631"/>
        <v>71192059.212545767</v>
      </c>
    </row>
    <row r="660" spans="1:39">
      <c r="A660" s="100"/>
      <c r="B660" s="100"/>
      <c r="C660" s="100"/>
      <c r="D660" s="179" t="str">
        <f t="shared" si="629"/>
        <v>Terminal facilities</v>
      </c>
      <c r="E660" s="165" t="str">
        <f>H592</f>
        <v>Terminal International</v>
      </c>
      <c r="F660" s="165"/>
      <c r="G660" s="165" t="s">
        <v>83</v>
      </c>
      <c r="H660" s="121"/>
      <c r="I660" s="165"/>
      <c r="J660" s="165"/>
      <c r="K660" s="532"/>
      <c r="L660" s="532"/>
      <c r="M660" s="533"/>
      <c r="N660" s="164"/>
      <c r="O660" s="164">
        <f t="shared" ref="O660:X660" si="632">SUMIFS(O$27:O$44,$J$27:$J$44,$G657,$K$27:$K$44,$G660)</f>
        <v>787288.17680768855</v>
      </c>
      <c r="P660" s="164">
        <f t="shared" si="632"/>
        <v>4773622.2451659245</v>
      </c>
      <c r="Q660" s="164">
        <f t="shared" si="632"/>
        <v>91709.932406967098</v>
      </c>
      <c r="R660" s="164">
        <f t="shared" si="632"/>
        <v>5159745.7952085361</v>
      </c>
      <c r="S660" s="164">
        <f t="shared" si="632"/>
        <v>114722.63237790141</v>
      </c>
      <c r="T660" s="164">
        <f t="shared" si="632"/>
        <v>0</v>
      </c>
      <c r="U660" s="164">
        <f t="shared" si="632"/>
        <v>0</v>
      </c>
      <c r="V660" s="164">
        <f t="shared" si="632"/>
        <v>0</v>
      </c>
      <c r="W660" s="164">
        <f t="shared" si="632"/>
        <v>0</v>
      </c>
      <c r="X660" s="164">
        <f t="shared" si="632"/>
        <v>0</v>
      </c>
      <c r="Y660" s="164">
        <f>SUMIFS(Y$27:Y$44,$J$27:$J$44,$G657,$K$27:$K$44,$G660)</f>
        <v>0</v>
      </c>
      <c r="Z660" s="164">
        <f t="shared" ref="Z660:AM660" si="633">SUMIFS(Z$27:Z$44,$J$27:$J$44,$G657,$K$27:$K$44,$G660)</f>
        <v>0</v>
      </c>
      <c r="AA660" s="164">
        <f t="shared" si="633"/>
        <v>0</v>
      </c>
      <c r="AB660" s="164">
        <f t="shared" si="633"/>
        <v>0</v>
      </c>
      <c r="AC660" s="164">
        <f t="shared" si="633"/>
        <v>0</v>
      </c>
      <c r="AD660" s="164">
        <f t="shared" si="633"/>
        <v>0</v>
      </c>
      <c r="AE660" s="164">
        <f t="shared" si="633"/>
        <v>0</v>
      </c>
      <c r="AF660" s="164">
        <f t="shared" si="633"/>
        <v>0</v>
      </c>
      <c r="AG660" s="164">
        <f t="shared" si="633"/>
        <v>0</v>
      </c>
      <c r="AH660" s="164">
        <f t="shared" si="633"/>
        <v>0</v>
      </c>
      <c r="AI660" s="164">
        <f t="shared" si="633"/>
        <v>0</v>
      </c>
      <c r="AJ660" s="164">
        <f t="shared" si="633"/>
        <v>0</v>
      </c>
      <c r="AK660" s="164">
        <f t="shared" si="633"/>
        <v>0</v>
      </c>
      <c r="AL660" s="164">
        <f t="shared" si="633"/>
        <v>0</v>
      </c>
      <c r="AM660" s="164">
        <f t="shared" si="633"/>
        <v>0</v>
      </c>
    </row>
    <row r="661" spans="1:39">
      <c r="A661" s="100"/>
      <c r="B661" s="100"/>
      <c r="C661" s="100"/>
      <c r="D661" s="179" t="str">
        <f t="shared" si="629"/>
        <v>Terminal facilities</v>
      </c>
      <c r="E661" s="165" t="str">
        <f>H592</f>
        <v>Terminal International</v>
      </c>
      <c r="F661" s="165"/>
      <c r="G661" s="165" t="s">
        <v>78</v>
      </c>
      <c r="H661" s="121"/>
      <c r="I661" s="165"/>
      <c r="J661" s="165"/>
      <c r="K661" s="197"/>
      <c r="L661" s="197"/>
      <c r="M661" s="477"/>
      <c r="N661" s="164"/>
      <c r="O661" s="164">
        <f t="shared" ref="O661:X661" si="634">O277+SUMIFS(O$27:O$44,$J$27:$J$44,$G657,$K$27:$K$44,$G661)</f>
        <v>4410647.9615791887</v>
      </c>
      <c r="P661" s="164">
        <f t="shared" si="634"/>
        <v>4425985.2360957814</v>
      </c>
      <c r="Q661" s="164">
        <f t="shared" si="634"/>
        <v>4434642.6537149996</v>
      </c>
      <c r="R661" s="164">
        <f t="shared" si="634"/>
        <v>4677348.1399917714</v>
      </c>
      <c r="S661" s="164">
        <f t="shared" si="634"/>
        <v>4688590.9579648059</v>
      </c>
      <c r="T661" s="164">
        <f t="shared" si="634"/>
        <v>4647899.2667426737</v>
      </c>
      <c r="U661" s="164">
        <f t="shared" si="634"/>
        <v>4647899.2667426737</v>
      </c>
      <c r="V661" s="164">
        <f t="shared" si="634"/>
        <v>4647899.2667426737</v>
      </c>
      <c r="W661" s="164">
        <f t="shared" si="634"/>
        <v>4647899.2667426737</v>
      </c>
      <c r="X661" s="164">
        <f t="shared" si="634"/>
        <v>4647899.2667426737</v>
      </c>
      <c r="Y661" s="164">
        <f>Y277+SUMIFS(Y$27:Y$44,$J$27:$J$44,$G657,$K$27:$K$44,$G661)</f>
        <v>4606431.5078867525</v>
      </c>
      <c r="Z661" s="164">
        <f t="shared" ref="Z661:AM661" si="635">Z277+SUMIFS(Z$27:Z$44,$J$27:$J$44,$G657,$K$27:$K$44,$G661)</f>
        <v>4598167.7333701598</v>
      </c>
      <c r="AA661" s="164">
        <f t="shared" si="635"/>
        <v>4591564.6182368584</v>
      </c>
      <c r="AB661" s="164">
        <f t="shared" si="635"/>
        <v>4561498.2715401752</v>
      </c>
      <c r="AC661" s="164">
        <f t="shared" si="635"/>
        <v>4551173.2346261647</v>
      </c>
      <c r="AD661" s="164">
        <f t="shared" si="635"/>
        <v>4549118.9321402479</v>
      </c>
      <c r="AE661" s="164">
        <f t="shared" si="635"/>
        <v>4544118.0430645365</v>
      </c>
      <c r="AF661" s="164">
        <f t="shared" si="635"/>
        <v>4543200.2620055135</v>
      </c>
      <c r="AG661" s="164">
        <f t="shared" si="635"/>
        <v>4543200.2620055135</v>
      </c>
      <c r="AH661" s="164">
        <f t="shared" si="635"/>
        <v>4543200.2620055135</v>
      </c>
      <c r="AI661" s="164">
        <f t="shared" si="635"/>
        <v>4188346.2222586805</v>
      </c>
      <c r="AJ661" s="164">
        <f t="shared" si="635"/>
        <v>4188346.2222586805</v>
      </c>
      <c r="AK661" s="164">
        <f t="shared" si="635"/>
        <v>4188346.2222586805</v>
      </c>
      <c r="AL661" s="164">
        <f t="shared" si="635"/>
        <v>4188346.2222586805</v>
      </c>
      <c r="AM661" s="164">
        <f t="shared" si="635"/>
        <v>4188346.2222586805</v>
      </c>
    </row>
    <row r="662" spans="1:39">
      <c r="A662" s="100"/>
      <c r="B662" s="100"/>
      <c r="C662" s="100"/>
      <c r="D662" s="179" t="str">
        <f t="shared" si="629"/>
        <v>Terminal facilities</v>
      </c>
      <c r="E662" s="165" t="str">
        <f>H592</f>
        <v>Terminal International</v>
      </c>
      <c r="F662" s="165"/>
      <c r="G662" s="165" t="s">
        <v>88</v>
      </c>
      <c r="H662" s="121"/>
      <c r="I662" s="165"/>
      <c r="J662" s="165"/>
      <c r="K662" s="197"/>
      <c r="L662" s="197"/>
      <c r="M662" s="477"/>
      <c r="N662" s="539"/>
      <c r="O662" s="545">
        <f>N664*'Volume &amp; CPI forecast'!O13</f>
        <v>2439556.3080206718</v>
      </c>
      <c r="P662" s="545">
        <f>O664*'Volume &amp; CPI forecast'!P13</f>
        <v>2414696.4350089044</v>
      </c>
      <c r="Q662" s="545">
        <f>P664*'Volume &amp; CPI forecast'!Q13</f>
        <v>2470770.3029176053</v>
      </c>
      <c r="R662" s="545">
        <f>Q664*'Volume &amp; CPI forecast'!R13</f>
        <v>2429480.629806072</v>
      </c>
      <c r="S662" s="545">
        <f>R664*'Volume &amp; CPI forecast'!S13</f>
        <v>2488690.87498248</v>
      </c>
      <c r="T662" s="545">
        <f>S664*'Volume &amp; CPI forecast'!T13</f>
        <v>2908112.6248324607</v>
      </c>
      <c r="U662" s="545">
        <f>T664*'Volume &amp; CPI forecast'!U13</f>
        <v>2861714.8497556411</v>
      </c>
      <c r="V662" s="545">
        <f>U664*'Volume &amp; CPI forecast'!V13</f>
        <v>2814178.6621931773</v>
      </c>
      <c r="W662" s="545">
        <f>V664*'Volume &amp; CPI forecast'!W13</f>
        <v>2765455.0391819882</v>
      </c>
      <c r="X662" s="545">
        <f>W664*'Volume &amp; CPI forecast'!X13</f>
        <v>2715514.3635389307</v>
      </c>
      <c r="Y662" s="545">
        <f>X664*'Volume &amp; CPI forecast'!Y13</f>
        <v>2664326.2726871353</v>
      </c>
      <c r="Z662" s="545">
        <f>Y664*'Volume &amp; CPI forecast'!Z13</f>
        <v>2612896.3446513056</v>
      </c>
      <c r="AA662" s="545">
        <f>Z664*'Volume &amp; CPI forecast'!AA13</f>
        <v>2560413.5981392227</v>
      </c>
      <c r="AB662" s="545">
        <f>AA664*'Volume &amp; CPI forecast'!AB13</f>
        <v>2506790.1227924745</v>
      </c>
      <c r="AC662" s="545">
        <f>AB664*'Volume &amp; CPI forecast'!AC13</f>
        <v>2452583.0599649274</v>
      </c>
      <c r="AD662" s="545">
        <f>AC664*'Volume &amp; CPI forecast'!AD13</f>
        <v>2397298.5305541088</v>
      </c>
      <c r="AE662" s="545">
        <f>AD664*'Volume &amp; CPI forecast'!AE13</f>
        <v>2340690.9619352845</v>
      </c>
      <c r="AF662" s="545">
        <f>AE664*'Volume &amp; CPI forecast'!AF13</f>
        <v>2282796.0549620236</v>
      </c>
      <c r="AG662" s="545">
        <f>AF664*'Volume &amp; CPI forecast'!AG13</f>
        <v>2223481.4391687117</v>
      </c>
      <c r="AH662" s="545">
        <f>AG664*'Volume &amp; CPI forecast'!AH13</f>
        <v>2162686.3438201472</v>
      </c>
      <c r="AI662" s="545">
        <f>AH664*'Volume &amp; CPI forecast'!AI13</f>
        <v>2100373.3529930762</v>
      </c>
      <c r="AJ662" s="545">
        <f>AI664*'Volume &amp; CPI forecast'!AJ13</f>
        <v>2045376.0359698264</v>
      </c>
      <c r="AK662" s="545">
        <f>AJ664*'Volume &amp; CPI forecast'!AK13</f>
        <v>0</v>
      </c>
      <c r="AL662" s="545">
        <f>AK664*'Volume &amp; CPI forecast'!AL13</f>
        <v>0</v>
      </c>
      <c r="AM662" s="545">
        <f>AL664*'Volume &amp; CPI forecast'!AM13</f>
        <v>0</v>
      </c>
    </row>
    <row r="663" spans="1:39">
      <c r="A663" s="100"/>
      <c r="B663" s="100"/>
      <c r="C663" s="100"/>
      <c r="D663" s="179" t="str">
        <f t="shared" si="629"/>
        <v>Terminal facilities</v>
      </c>
      <c r="E663" s="165" t="str">
        <f>H592</f>
        <v>Terminal International</v>
      </c>
      <c r="F663" s="165"/>
      <c r="G663" s="165" t="s">
        <v>87</v>
      </c>
      <c r="H663" s="121"/>
      <c r="I663" s="165"/>
      <c r="J663" s="165"/>
      <c r="K663" s="197"/>
      <c r="L663" s="197"/>
      <c r="M663" s="477"/>
      <c r="N663" s="164"/>
      <c r="O663" s="164">
        <f t="shared" ref="O663:X663" si="636">IF(N659&gt;0,N661/AVERAGE(N659,N664)*O662,0)</f>
        <v>0</v>
      </c>
      <c r="P663" s="164">
        <f t="shared" si="636"/>
        <v>92149.257950425192</v>
      </c>
      <c r="Q663" s="164">
        <f t="shared" si="636"/>
        <v>94012.491682589447</v>
      </c>
      <c r="R663" s="164">
        <f t="shared" si="636"/>
        <v>92342.800431978758</v>
      </c>
      <c r="S663" s="164">
        <f t="shared" si="636"/>
        <v>99406.840977132393</v>
      </c>
      <c r="T663" s="164">
        <f t="shared" si="636"/>
        <v>116124.36116257821</v>
      </c>
      <c r="U663" s="164">
        <f t="shared" si="636"/>
        <v>115263.08551154207</v>
      </c>
      <c r="V663" s="164">
        <f t="shared" si="636"/>
        <v>115224.31589805782</v>
      </c>
      <c r="W663" s="164">
        <f t="shared" si="636"/>
        <v>115182.79816160593</v>
      </c>
      <c r="X663" s="164">
        <f t="shared" si="636"/>
        <v>115138.73086808452</v>
      </c>
      <c r="Y663" s="164">
        <f t="shared" ref="Y663:AM663" si="637">IF(X659&gt;0,X661/AVERAGE(X659,X664)*Y662,0)</f>
        <v>115091.88623357404</v>
      </c>
      <c r="Z663" s="164">
        <f t="shared" si="637"/>
        <v>114038.47176447429</v>
      </c>
      <c r="AA663" s="164">
        <f t="shared" si="637"/>
        <v>113787.99377227525</v>
      </c>
      <c r="AB663" s="164">
        <f t="shared" si="637"/>
        <v>113574.36435418486</v>
      </c>
      <c r="AC663" s="164">
        <f t="shared" si="637"/>
        <v>112791.00177150339</v>
      </c>
      <c r="AD663" s="164">
        <f t="shared" si="637"/>
        <v>112482.34316684469</v>
      </c>
      <c r="AE663" s="164">
        <f t="shared" si="637"/>
        <v>112369.19780118328</v>
      </c>
      <c r="AF663" s="164">
        <f t="shared" si="637"/>
        <v>112180.42468896888</v>
      </c>
      <c r="AG663" s="164">
        <f t="shared" si="637"/>
        <v>112084.99110577209</v>
      </c>
      <c r="AH663" s="164">
        <f t="shared" si="637"/>
        <v>112005.71489748226</v>
      </c>
      <c r="AI663" s="164">
        <f t="shared" si="637"/>
        <v>111919.81166438757</v>
      </c>
      <c r="AJ663" s="164">
        <f t="shared" si="637"/>
        <v>103319.59544105135</v>
      </c>
      <c r="AK663" s="164">
        <f t="shared" si="637"/>
        <v>0</v>
      </c>
      <c r="AL663" s="164">
        <f t="shared" si="637"/>
        <v>0</v>
      </c>
      <c r="AM663" s="164">
        <f t="shared" si="637"/>
        <v>0</v>
      </c>
    </row>
    <row r="664" spans="1:39">
      <c r="A664" s="100"/>
      <c r="B664" s="100"/>
      <c r="C664" s="100"/>
      <c r="D664" s="179" t="str">
        <f t="shared" si="629"/>
        <v>Terminal facilities</v>
      </c>
      <c r="E664" s="165" t="str">
        <f>H592</f>
        <v>Terminal International</v>
      </c>
      <c r="F664" s="165"/>
      <c r="G664" s="200" t="s">
        <v>76</v>
      </c>
      <c r="H664" s="201"/>
      <c r="I664" s="200"/>
      <c r="J664" s="200"/>
      <c r="K664" s="199">
        <f>K279</f>
        <v>0</v>
      </c>
      <c r="L664" s="199">
        <f>L279</f>
        <v>0</v>
      </c>
      <c r="M664" s="527">
        <f>M279</f>
        <v>0</v>
      </c>
      <c r="N664" s="198">
        <f>N279</f>
        <v>116169348.00098437</v>
      </c>
      <c r="O664" s="198">
        <f t="shared" ref="O664:AM664" si="638">SUM(O659:O660,O662)-SUM(O661,O663)</f>
        <v>114985544.52423353</v>
      </c>
      <c r="P664" s="198">
        <f t="shared" si="638"/>
        <v>117655728.71036215</v>
      </c>
      <c r="Q664" s="198">
        <f t="shared" si="638"/>
        <v>115689553.80028912</v>
      </c>
      <c r="R664" s="198">
        <f t="shared" si="638"/>
        <v>118509089.28487998</v>
      </c>
      <c r="S664" s="198">
        <f t="shared" si="638"/>
        <v>116324504.99329843</v>
      </c>
      <c r="T664" s="198">
        <f t="shared" si="638"/>
        <v>114468593.99022564</v>
      </c>
      <c r="U664" s="198">
        <f t="shared" si="638"/>
        <v>112567146.48772708</v>
      </c>
      <c r="V664" s="198">
        <f t="shared" si="638"/>
        <v>110618201.56727952</v>
      </c>
      <c r="W664" s="198">
        <f t="shared" si="638"/>
        <v>108620574.54155722</v>
      </c>
      <c r="X664" s="198">
        <f t="shared" si="638"/>
        <v>106573050.9074854</v>
      </c>
      <c r="Y664" s="198">
        <f t="shared" si="638"/>
        <v>104515853.78605221</v>
      </c>
      <c r="Z664" s="198">
        <f t="shared" si="638"/>
        <v>102416543.92556889</v>
      </c>
      <c r="AA664" s="198">
        <f t="shared" si="638"/>
        <v>100271604.91169898</v>
      </c>
      <c r="AB664" s="198">
        <f t="shared" si="638"/>
        <v>98103322.398597091</v>
      </c>
      <c r="AC664" s="198">
        <f t="shared" si="638"/>
        <v>95891941.222164348</v>
      </c>
      <c r="AD664" s="198">
        <f t="shared" si="638"/>
        <v>93627638.477411374</v>
      </c>
      <c r="AE664" s="198">
        <f t="shared" si="638"/>
        <v>91311842.198480934</v>
      </c>
      <c r="AF664" s="198">
        <f t="shared" si="638"/>
        <v>88939257.56674847</v>
      </c>
      <c r="AG664" s="198">
        <f t="shared" si="638"/>
        <v>86507453.752805889</v>
      </c>
      <c r="AH664" s="198">
        <f t="shared" si="638"/>
        <v>84014934.119723052</v>
      </c>
      <c r="AI664" s="198">
        <f t="shared" si="638"/>
        <v>81815041.438793048</v>
      </c>
      <c r="AJ664" s="198">
        <f t="shared" si="638"/>
        <v>79568751.657063141</v>
      </c>
      <c r="AK664" s="198">
        <f t="shared" si="638"/>
        <v>75380405.434804454</v>
      </c>
      <c r="AL664" s="198">
        <f t="shared" si="638"/>
        <v>71192059.212545767</v>
      </c>
      <c r="AM664" s="198">
        <f t="shared" si="638"/>
        <v>67003712.990287088</v>
      </c>
    </row>
    <row r="665" spans="1:39">
      <c r="A665" s="100"/>
      <c r="B665" s="100"/>
      <c r="C665" s="100"/>
      <c r="D665" s="179"/>
      <c r="E665" s="165"/>
      <c r="F665" s="165"/>
      <c r="G665" s="165"/>
      <c r="H665" s="121"/>
      <c r="I665" s="165"/>
      <c r="J665" s="165"/>
      <c r="K665" s="197"/>
      <c r="L665" s="197"/>
      <c r="M665" s="477"/>
      <c r="N665" s="164"/>
      <c r="O665" s="164"/>
      <c r="P665" s="164"/>
      <c r="Q665" s="164"/>
      <c r="R665" s="164"/>
      <c r="S665" s="164"/>
      <c r="T665" s="164"/>
      <c r="U665" s="164"/>
      <c r="V665" s="164"/>
      <c r="W665" s="164"/>
      <c r="X665" s="164"/>
      <c r="Y665" s="164"/>
      <c r="Z665" s="164"/>
      <c r="AA665" s="164"/>
      <c r="AB665" s="164"/>
      <c r="AC665" s="164"/>
      <c r="AD665" s="164"/>
      <c r="AE665" s="164"/>
      <c r="AF665" s="164"/>
      <c r="AG665" s="164"/>
      <c r="AH665" s="164"/>
      <c r="AI665" s="164"/>
      <c r="AJ665" s="164"/>
      <c r="AK665" s="164"/>
      <c r="AL665" s="164"/>
      <c r="AM665" s="164"/>
    </row>
    <row r="666" spans="1:39">
      <c r="A666" s="100"/>
      <c r="B666" s="100"/>
      <c r="C666" s="100"/>
      <c r="D666" s="179"/>
      <c r="E666" s="165"/>
      <c r="F666" s="165"/>
      <c r="G666" s="206" t="s">
        <v>30</v>
      </c>
      <c r="H666" s="121"/>
      <c r="I666" s="165"/>
      <c r="J666" s="165"/>
      <c r="K666" s="204"/>
      <c r="L666" s="197"/>
      <c r="M666" s="477"/>
      <c r="N666" s="164"/>
      <c r="O666" s="164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  <c r="AA666" s="165"/>
      <c r="AB666" s="165"/>
      <c r="AC666" s="165"/>
      <c r="AD666" s="165"/>
      <c r="AE666" s="165"/>
      <c r="AF666" s="165"/>
      <c r="AG666" s="165"/>
      <c r="AH666" s="165"/>
      <c r="AI666" s="165"/>
      <c r="AJ666" s="165"/>
      <c r="AK666" s="165"/>
      <c r="AL666" s="165"/>
      <c r="AM666" s="165"/>
    </row>
    <row r="667" spans="1:39">
      <c r="A667" s="100"/>
      <c r="B667" s="100"/>
      <c r="C667" s="100"/>
      <c r="D667" s="179"/>
      <c r="E667" s="165"/>
      <c r="F667" s="165"/>
      <c r="G667" s="205"/>
      <c r="H667" s="121"/>
      <c r="I667" s="165"/>
      <c r="J667" s="165"/>
      <c r="K667" s="204"/>
      <c r="L667" s="197"/>
      <c r="M667" s="477"/>
      <c r="N667" s="164"/>
      <c r="O667" s="164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/>
      <c r="AG667" s="165"/>
      <c r="AH667" s="165"/>
      <c r="AI667" s="165"/>
      <c r="AJ667" s="165"/>
      <c r="AK667" s="165"/>
      <c r="AL667" s="165"/>
      <c r="AM667" s="165"/>
    </row>
    <row r="668" spans="1:39">
      <c r="A668" s="100"/>
      <c r="B668" s="100"/>
      <c r="C668" s="100"/>
      <c r="D668" s="179" t="str">
        <f t="shared" ref="D668:D673" si="639">$G$572</f>
        <v>Car parking</v>
      </c>
      <c r="E668" s="165" t="str">
        <f>H592</f>
        <v>Terminal International</v>
      </c>
      <c r="F668" s="165"/>
      <c r="G668" s="165" t="s">
        <v>80</v>
      </c>
      <c r="H668" s="121"/>
      <c r="I668" s="165"/>
      <c r="J668" s="165"/>
      <c r="K668" s="530">
        <f>K673</f>
        <v>0</v>
      </c>
      <c r="L668" s="530">
        <f>L673</f>
        <v>0</v>
      </c>
      <c r="M668" s="531"/>
      <c r="N668" s="164"/>
      <c r="O668" s="164">
        <f t="shared" ref="O668:Y668" si="640">N673</f>
        <v>0</v>
      </c>
      <c r="P668" s="164">
        <f t="shared" si="640"/>
        <v>0</v>
      </c>
      <c r="Q668" s="164">
        <f t="shared" si="640"/>
        <v>0</v>
      </c>
      <c r="R668" s="164">
        <f t="shared" si="640"/>
        <v>0</v>
      </c>
      <c r="S668" s="164">
        <f t="shared" si="640"/>
        <v>0</v>
      </c>
      <c r="T668" s="164">
        <f t="shared" si="640"/>
        <v>0</v>
      </c>
      <c r="U668" s="164">
        <f t="shared" si="640"/>
        <v>0</v>
      </c>
      <c r="V668" s="164">
        <f t="shared" si="640"/>
        <v>0</v>
      </c>
      <c r="W668" s="164">
        <f t="shared" si="640"/>
        <v>0</v>
      </c>
      <c r="X668" s="164">
        <f t="shared" si="640"/>
        <v>0</v>
      </c>
      <c r="Y668" s="164">
        <f t="shared" si="640"/>
        <v>0</v>
      </c>
      <c r="Z668" s="164">
        <f t="shared" ref="Z668:AM668" si="641">Y673</f>
        <v>0</v>
      </c>
      <c r="AA668" s="164">
        <f t="shared" si="641"/>
        <v>0</v>
      </c>
      <c r="AB668" s="164">
        <f t="shared" si="641"/>
        <v>0</v>
      </c>
      <c r="AC668" s="164">
        <f t="shared" si="641"/>
        <v>0</v>
      </c>
      <c r="AD668" s="164">
        <f t="shared" si="641"/>
        <v>0</v>
      </c>
      <c r="AE668" s="164">
        <f t="shared" si="641"/>
        <v>0</v>
      </c>
      <c r="AF668" s="164">
        <f t="shared" si="641"/>
        <v>0</v>
      </c>
      <c r="AG668" s="164">
        <f t="shared" si="641"/>
        <v>0</v>
      </c>
      <c r="AH668" s="164">
        <f t="shared" si="641"/>
        <v>0</v>
      </c>
      <c r="AI668" s="164">
        <f t="shared" si="641"/>
        <v>0</v>
      </c>
      <c r="AJ668" s="164">
        <f t="shared" si="641"/>
        <v>0</v>
      </c>
      <c r="AK668" s="164">
        <f t="shared" si="641"/>
        <v>0</v>
      </c>
      <c r="AL668" s="164">
        <f t="shared" si="641"/>
        <v>0</v>
      </c>
      <c r="AM668" s="164">
        <f t="shared" si="641"/>
        <v>0</v>
      </c>
    </row>
    <row r="669" spans="1:39">
      <c r="A669" s="100"/>
      <c r="B669" s="100"/>
      <c r="C669" s="100"/>
      <c r="D669" s="179" t="str">
        <f t="shared" si="639"/>
        <v>Car parking</v>
      </c>
      <c r="E669" s="165" t="str">
        <f>H592</f>
        <v>Terminal International</v>
      </c>
      <c r="F669" s="165"/>
      <c r="G669" s="165" t="s">
        <v>83</v>
      </c>
      <c r="H669" s="121"/>
      <c r="I669" s="165"/>
      <c r="J669" s="165"/>
      <c r="K669" s="532"/>
      <c r="L669" s="532"/>
      <c r="M669" s="533"/>
      <c r="N669" s="164"/>
      <c r="O669" s="164">
        <f t="shared" ref="O669:X669" si="642">SUMIFS(O$27:O$44,$J$27:$J$44,$G666,$K$27:$K$44,$G669)</f>
        <v>0</v>
      </c>
      <c r="P669" s="164">
        <f t="shared" si="642"/>
        <v>0</v>
      </c>
      <c r="Q669" s="164">
        <f t="shared" si="642"/>
        <v>0</v>
      </c>
      <c r="R669" s="164">
        <f t="shared" si="642"/>
        <v>0</v>
      </c>
      <c r="S669" s="164">
        <f t="shared" si="642"/>
        <v>0</v>
      </c>
      <c r="T669" s="164">
        <f t="shared" si="642"/>
        <v>0</v>
      </c>
      <c r="U669" s="164">
        <f t="shared" si="642"/>
        <v>0</v>
      </c>
      <c r="V669" s="164">
        <f t="shared" si="642"/>
        <v>0</v>
      </c>
      <c r="W669" s="164">
        <f t="shared" si="642"/>
        <v>0</v>
      </c>
      <c r="X669" s="164">
        <f t="shared" si="642"/>
        <v>0</v>
      </c>
      <c r="Y669" s="164">
        <f>SUMIFS(Y$27:Y$44,$J$27:$J$44,$G666,$K$27:$K$44,$G669)</f>
        <v>0</v>
      </c>
      <c r="Z669" s="164">
        <f t="shared" ref="Z669:AM669" si="643">SUMIFS(Z$27:Z$44,$J$27:$J$44,$G666,$K$27:$K$44,$G669)</f>
        <v>0</v>
      </c>
      <c r="AA669" s="164">
        <f t="shared" si="643"/>
        <v>0</v>
      </c>
      <c r="AB669" s="164">
        <f t="shared" si="643"/>
        <v>0</v>
      </c>
      <c r="AC669" s="164">
        <f t="shared" si="643"/>
        <v>0</v>
      </c>
      <c r="AD669" s="164">
        <f t="shared" si="643"/>
        <v>0</v>
      </c>
      <c r="AE669" s="164">
        <f t="shared" si="643"/>
        <v>0</v>
      </c>
      <c r="AF669" s="164">
        <f t="shared" si="643"/>
        <v>0</v>
      </c>
      <c r="AG669" s="164">
        <f t="shared" si="643"/>
        <v>0</v>
      </c>
      <c r="AH669" s="164">
        <f t="shared" si="643"/>
        <v>0</v>
      </c>
      <c r="AI669" s="164">
        <f t="shared" si="643"/>
        <v>0</v>
      </c>
      <c r="AJ669" s="164">
        <f t="shared" si="643"/>
        <v>0</v>
      </c>
      <c r="AK669" s="164">
        <f t="shared" si="643"/>
        <v>0</v>
      </c>
      <c r="AL669" s="164">
        <f t="shared" si="643"/>
        <v>0</v>
      </c>
      <c r="AM669" s="164">
        <f t="shared" si="643"/>
        <v>0</v>
      </c>
    </row>
    <row r="670" spans="1:39">
      <c r="A670" s="100"/>
      <c r="B670" s="100"/>
      <c r="C670" s="100"/>
      <c r="D670" s="179" t="str">
        <f t="shared" si="639"/>
        <v>Car parking</v>
      </c>
      <c r="E670" s="165" t="str">
        <f>H592</f>
        <v>Terminal International</v>
      </c>
      <c r="F670" s="165"/>
      <c r="G670" s="165" t="s">
        <v>78</v>
      </c>
      <c r="H670" s="121"/>
      <c r="I670" s="165"/>
      <c r="J670" s="165"/>
      <c r="K670" s="197"/>
      <c r="L670" s="197"/>
      <c r="M670" s="477"/>
      <c r="N670" s="164"/>
      <c r="O670" s="164">
        <f t="shared" ref="O670:X670" si="644">O286+SUMIFS(O$27:O$44,$J$27:$J$44,$G666,$K$27:$K$44,$G670)</f>
        <v>0</v>
      </c>
      <c r="P670" s="164">
        <f t="shared" si="644"/>
        <v>0</v>
      </c>
      <c r="Q670" s="164">
        <f t="shared" si="644"/>
        <v>0</v>
      </c>
      <c r="R670" s="164">
        <f t="shared" si="644"/>
        <v>0</v>
      </c>
      <c r="S670" s="164">
        <f t="shared" si="644"/>
        <v>0</v>
      </c>
      <c r="T670" s="164">
        <f t="shared" si="644"/>
        <v>0</v>
      </c>
      <c r="U670" s="164">
        <f t="shared" si="644"/>
        <v>0</v>
      </c>
      <c r="V670" s="164">
        <f t="shared" si="644"/>
        <v>0</v>
      </c>
      <c r="W670" s="164">
        <f t="shared" si="644"/>
        <v>0</v>
      </c>
      <c r="X670" s="164">
        <f t="shared" si="644"/>
        <v>0</v>
      </c>
      <c r="Y670" s="164">
        <f>Y286+SUMIFS(Y$27:Y$44,$J$27:$J$44,$G666,$K$27:$K$44,$G670)</f>
        <v>0</v>
      </c>
      <c r="Z670" s="164">
        <f t="shared" ref="Z670:AM670" si="645">Z286+SUMIFS(Z$27:Z$44,$J$27:$J$44,$G666,$K$27:$K$44,$G670)</f>
        <v>0</v>
      </c>
      <c r="AA670" s="164">
        <f t="shared" si="645"/>
        <v>0</v>
      </c>
      <c r="AB670" s="164">
        <f t="shared" si="645"/>
        <v>0</v>
      </c>
      <c r="AC670" s="164">
        <f t="shared" si="645"/>
        <v>0</v>
      </c>
      <c r="AD670" s="164">
        <f t="shared" si="645"/>
        <v>0</v>
      </c>
      <c r="AE670" s="164">
        <f t="shared" si="645"/>
        <v>0</v>
      </c>
      <c r="AF670" s="164">
        <f t="shared" si="645"/>
        <v>0</v>
      </c>
      <c r="AG670" s="164">
        <f t="shared" si="645"/>
        <v>0</v>
      </c>
      <c r="AH670" s="164">
        <f t="shared" si="645"/>
        <v>0</v>
      </c>
      <c r="AI670" s="164">
        <f t="shared" si="645"/>
        <v>0</v>
      </c>
      <c r="AJ670" s="164">
        <f t="shared" si="645"/>
        <v>0</v>
      </c>
      <c r="AK670" s="164">
        <f t="shared" si="645"/>
        <v>0</v>
      </c>
      <c r="AL670" s="164">
        <f t="shared" si="645"/>
        <v>0</v>
      </c>
      <c r="AM670" s="164">
        <f t="shared" si="645"/>
        <v>0</v>
      </c>
    </row>
    <row r="671" spans="1:39">
      <c r="A671" s="100"/>
      <c r="B671" s="100"/>
      <c r="C671" s="100"/>
      <c r="D671" s="179" t="str">
        <f t="shared" si="639"/>
        <v>Car parking</v>
      </c>
      <c r="E671" s="165" t="str">
        <f>H592</f>
        <v>Terminal International</v>
      </c>
      <c r="F671" s="165"/>
      <c r="G671" s="165" t="s">
        <v>88</v>
      </c>
      <c r="H671" s="121"/>
      <c r="I671" s="165"/>
      <c r="J671" s="165"/>
      <c r="K671" s="197"/>
      <c r="L671" s="197"/>
      <c r="M671" s="477"/>
      <c r="N671" s="230"/>
      <c r="O671" s="230">
        <f>N673*'Volume &amp; CPI forecast'!O$13</f>
        <v>0</v>
      </c>
      <c r="P671" s="230">
        <f>O673*'Volume &amp; CPI forecast'!P$13</f>
        <v>0</v>
      </c>
      <c r="Q671" s="230">
        <f>P673*'Volume &amp; CPI forecast'!Q$13</f>
        <v>0</v>
      </c>
      <c r="R671" s="230">
        <f>Q673*'Volume &amp; CPI forecast'!R$13</f>
        <v>0</v>
      </c>
      <c r="S671" s="230">
        <f>R673*'Volume &amp; CPI forecast'!S$13</f>
        <v>0</v>
      </c>
      <c r="T671" s="230">
        <f>S673*'Volume &amp; CPI forecast'!T$13</f>
        <v>0</v>
      </c>
      <c r="U671" s="230">
        <f>T673*'Volume &amp; CPI forecast'!U$13</f>
        <v>0</v>
      </c>
      <c r="V671" s="230">
        <f>U673*'Volume &amp; CPI forecast'!V$13</f>
        <v>0</v>
      </c>
      <c r="W671" s="230">
        <f>V673*'Volume &amp; CPI forecast'!W$13</f>
        <v>0</v>
      </c>
      <c r="X671" s="230">
        <f>W673*'Volume &amp; CPI forecast'!X$13</f>
        <v>0</v>
      </c>
      <c r="Y671" s="230">
        <f>X673*'Volume &amp; CPI forecast'!Y$13</f>
        <v>0</v>
      </c>
      <c r="Z671" s="230">
        <f>Y673*'Volume &amp; CPI forecast'!Z$13</f>
        <v>0</v>
      </c>
      <c r="AA671" s="230">
        <f>Z673*'Volume &amp; CPI forecast'!AA$13</f>
        <v>0</v>
      </c>
      <c r="AB671" s="230">
        <f>AA673*'Volume &amp; CPI forecast'!AB$13</f>
        <v>0</v>
      </c>
      <c r="AC671" s="230">
        <f>AB673*'Volume &amp; CPI forecast'!AC$13</f>
        <v>0</v>
      </c>
      <c r="AD671" s="230">
        <f>AC673*'Volume &amp; CPI forecast'!AD$13</f>
        <v>0</v>
      </c>
      <c r="AE671" s="230">
        <f>AD673*'Volume &amp; CPI forecast'!AE$13</f>
        <v>0</v>
      </c>
      <c r="AF671" s="230">
        <f>AE673*'Volume &amp; CPI forecast'!AF$13</f>
        <v>0</v>
      </c>
      <c r="AG671" s="230">
        <f>AF673*'Volume &amp; CPI forecast'!AG$13</f>
        <v>0</v>
      </c>
      <c r="AH671" s="230">
        <f>AG673*'Volume &amp; CPI forecast'!AH$13</f>
        <v>0</v>
      </c>
      <c r="AI671" s="230">
        <f>AH673*'Volume &amp; CPI forecast'!AI$13</f>
        <v>0</v>
      </c>
      <c r="AJ671" s="230">
        <f>AI673*'Volume &amp; CPI forecast'!AJ$13</f>
        <v>0</v>
      </c>
      <c r="AK671" s="230">
        <f>AJ673*'Volume &amp; CPI forecast'!AK$13</f>
        <v>0</v>
      </c>
      <c r="AL671" s="230">
        <f>AK673*'Volume &amp; CPI forecast'!AL$13</f>
        <v>0</v>
      </c>
      <c r="AM671" s="230">
        <f>AL673*'Volume &amp; CPI forecast'!AM$13</f>
        <v>0</v>
      </c>
    </row>
    <row r="672" spans="1:39">
      <c r="A672" s="100"/>
      <c r="B672" s="100"/>
      <c r="C672" s="100"/>
      <c r="D672" s="179" t="str">
        <f t="shared" si="639"/>
        <v>Car parking</v>
      </c>
      <c r="E672" s="165" t="str">
        <f>H592</f>
        <v>Terminal International</v>
      </c>
      <c r="F672" s="165"/>
      <c r="G672" s="165" t="s">
        <v>87</v>
      </c>
      <c r="H672" s="121"/>
      <c r="I672" s="165"/>
      <c r="J672" s="165"/>
      <c r="K672" s="197"/>
      <c r="L672" s="197"/>
      <c r="M672" s="477"/>
      <c r="N672" s="164"/>
      <c r="O672" s="164">
        <f t="shared" ref="O672:X672" si="646">IF(N668&gt;0,N670/AVERAGE(N668,N673)*O671,0)</f>
        <v>0</v>
      </c>
      <c r="P672" s="164">
        <f t="shared" si="646"/>
        <v>0</v>
      </c>
      <c r="Q672" s="164">
        <f t="shared" si="646"/>
        <v>0</v>
      </c>
      <c r="R672" s="164">
        <f t="shared" si="646"/>
        <v>0</v>
      </c>
      <c r="S672" s="164">
        <f t="shared" si="646"/>
        <v>0</v>
      </c>
      <c r="T672" s="164">
        <f t="shared" si="646"/>
        <v>0</v>
      </c>
      <c r="U672" s="164">
        <f t="shared" si="646"/>
        <v>0</v>
      </c>
      <c r="V672" s="164">
        <f t="shared" si="646"/>
        <v>0</v>
      </c>
      <c r="W672" s="164">
        <f t="shared" si="646"/>
        <v>0</v>
      </c>
      <c r="X672" s="164">
        <f t="shared" si="646"/>
        <v>0</v>
      </c>
      <c r="Y672" s="164">
        <f t="shared" ref="Y672:AM672" si="647">IF(X668&gt;0,X670/AVERAGE(X668,X673)*Y671,0)</f>
        <v>0</v>
      </c>
      <c r="Z672" s="164">
        <f t="shared" si="647"/>
        <v>0</v>
      </c>
      <c r="AA672" s="164">
        <f t="shared" si="647"/>
        <v>0</v>
      </c>
      <c r="AB672" s="164">
        <f t="shared" si="647"/>
        <v>0</v>
      </c>
      <c r="AC672" s="164">
        <f t="shared" si="647"/>
        <v>0</v>
      </c>
      <c r="AD672" s="164">
        <f t="shared" si="647"/>
        <v>0</v>
      </c>
      <c r="AE672" s="164">
        <f t="shared" si="647"/>
        <v>0</v>
      </c>
      <c r="AF672" s="164">
        <f t="shared" si="647"/>
        <v>0</v>
      </c>
      <c r="AG672" s="164">
        <f t="shared" si="647"/>
        <v>0</v>
      </c>
      <c r="AH672" s="164">
        <f t="shared" si="647"/>
        <v>0</v>
      </c>
      <c r="AI672" s="164">
        <f t="shared" si="647"/>
        <v>0</v>
      </c>
      <c r="AJ672" s="164">
        <f t="shared" si="647"/>
        <v>0</v>
      </c>
      <c r="AK672" s="164">
        <f t="shared" si="647"/>
        <v>0</v>
      </c>
      <c r="AL672" s="164">
        <f t="shared" si="647"/>
        <v>0</v>
      </c>
      <c r="AM672" s="164">
        <f t="shared" si="647"/>
        <v>0</v>
      </c>
    </row>
    <row r="673" spans="1:39">
      <c r="A673" s="100"/>
      <c r="B673" s="100"/>
      <c r="C673" s="100"/>
      <c r="D673" s="179" t="str">
        <f t="shared" si="639"/>
        <v>Car parking</v>
      </c>
      <c r="E673" s="165" t="str">
        <f>H592</f>
        <v>Terminal International</v>
      </c>
      <c r="F673" s="165"/>
      <c r="G673" s="200" t="s">
        <v>76</v>
      </c>
      <c r="H673" s="201"/>
      <c r="I673" s="200"/>
      <c r="J673" s="200"/>
      <c r="K673" s="199">
        <f>K288</f>
        <v>0</v>
      </c>
      <c r="L673" s="199">
        <f>L288</f>
        <v>0</v>
      </c>
      <c r="M673" s="527">
        <f>M288</f>
        <v>0</v>
      </c>
      <c r="N673" s="198">
        <f>N288</f>
        <v>0</v>
      </c>
      <c r="O673" s="198">
        <f t="shared" ref="O673:AM673" si="648">SUM(O668:O669,O671)-SUM(O670,O672)</f>
        <v>0</v>
      </c>
      <c r="P673" s="198">
        <f t="shared" si="648"/>
        <v>0</v>
      </c>
      <c r="Q673" s="198">
        <f t="shared" si="648"/>
        <v>0</v>
      </c>
      <c r="R673" s="198">
        <f t="shared" si="648"/>
        <v>0</v>
      </c>
      <c r="S673" s="198">
        <f t="shared" si="648"/>
        <v>0</v>
      </c>
      <c r="T673" s="198">
        <f t="shared" si="648"/>
        <v>0</v>
      </c>
      <c r="U673" s="198">
        <f t="shared" si="648"/>
        <v>0</v>
      </c>
      <c r="V673" s="198">
        <f t="shared" si="648"/>
        <v>0</v>
      </c>
      <c r="W673" s="198">
        <f t="shared" si="648"/>
        <v>0</v>
      </c>
      <c r="X673" s="198">
        <f t="shared" si="648"/>
        <v>0</v>
      </c>
      <c r="Y673" s="198">
        <f t="shared" si="648"/>
        <v>0</v>
      </c>
      <c r="Z673" s="198">
        <f t="shared" si="648"/>
        <v>0</v>
      </c>
      <c r="AA673" s="198">
        <f t="shared" si="648"/>
        <v>0</v>
      </c>
      <c r="AB673" s="198">
        <f t="shared" si="648"/>
        <v>0</v>
      </c>
      <c r="AC673" s="198">
        <f t="shared" si="648"/>
        <v>0</v>
      </c>
      <c r="AD673" s="198">
        <f t="shared" si="648"/>
        <v>0</v>
      </c>
      <c r="AE673" s="198">
        <f t="shared" si="648"/>
        <v>0</v>
      </c>
      <c r="AF673" s="198">
        <f t="shared" si="648"/>
        <v>0</v>
      </c>
      <c r="AG673" s="198">
        <f t="shared" si="648"/>
        <v>0</v>
      </c>
      <c r="AH673" s="198">
        <f t="shared" si="648"/>
        <v>0</v>
      </c>
      <c r="AI673" s="198">
        <f t="shared" si="648"/>
        <v>0</v>
      </c>
      <c r="AJ673" s="198">
        <f t="shared" si="648"/>
        <v>0</v>
      </c>
      <c r="AK673" s="198">
        <f t="shared" si="648"/>
        <v>0</v>
      </c>
      <c r="AL673" s="198">
        <f t="shared" si="648"/>
        <v>0</v>
      </c>
      <c r="AM673" s="198">
        <f t="shared" si="648"/>
        <v>0</v>
      </c>
    </row>
    <row r="674" spans="1:39">
      <c r="A674" s="100"/>
      <c r="B674" s="100"/>
      <c r="C674" s="100"/>
      <c r="D674" s="179"/>
      <c r="E674" s="165"/>
      <c r="F674" s="165"/>
      <c r="G674" s="165"/>
      <c r="H674" s="121"/>
      <c r="I674" s="165"/>
      <c r="J674" s="165"/>
      <c r="K674" s="197"/>
      <c r="L674" s="197"/>
      <c r="M674" s="477"/>
      <c r="N674" s="164"/>
      <c r="O674" s="164"/>
      <c r="P674" s="164"/>
      <c r="Q674" s="164"/>
      <c r="R674" s="164"/>
      <c r="S674" s="164"/>
      <c r="T674" s="164"/>
      <c r="U674" s="164"/>
      <c r="V674" s="164"/>
      <c r="W674" s="164"/>
      <c r="X674" s="164"/>
      <c r="Y674" s="164"/>
      <c r="Z674" s="164"/>
      <c r="AA674" s="164"/>
      <c r="AB674" s="164"/>
      <c r="AC674" s="164"/>
      <c r="AD674" s="164"/>
      <c r="AE674" s="164"/>
      <c r="AF674" s="164"/>
      <c r="AG674" s="164"/>
      <c r="AH674" s="164"/>
      <c r="AI674" s="164"/>
      <c r="AJ674" s="164"/>
      <c r="AK674" s="164"/>
      <c r="AL674" s="164"/>
      <c r="AM674" s="164"/>
    </row>
    <row r="675" spans="1:39">
      <c r="A675" s="100"/>
      <c r="B675" s="100"/>
      <c r="C675" s="100"/>
      <c r="D675" s="179"/>
      <c r="E675" s="165"/>
      <c r="F675" s="165"/>
      <c r="G675" s="206" t="s">
        <v>29</v>
      </c>
      <c r="H675" s="121"/>
      <c r="I675" s="165"/>
      <c r="J675" s="165"/>
      <c r="K675" s="204"/>
      <c r="L675" s="197"/>
      <c r="M675" s="477"/>
      <c r="N675" s="164"/>
      <c r="O675" s="164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  <c r="AJ675" s="165"/>
      <c r="AK675" s="165"/>
      <c r="AL675" s="165"/>
      <c r="AM675" s="165"/>
    </row>
    <row r="676" spans="1:39">
      <c r="A676" s="100"/>
      <c r="B676" s="100"/>
      <c r="C676" s="100"/>
      <c r="D676" s="179"/>
      <c r="E676" s="165"/>
      <c r="F676" s="165"/>
      <c r="G676" s="205"/>
      <c r="H676" s="121"/>
      <c r="I676" s="165"/>
      <c r="J676" s="165"/>
      <c r="K676" s="204"/>
      <c r="L676" s="197"/>
      <c r="M676" s="477"/>
      <c r="N676" s="164"/>
      <c r="O676" s="164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  <c r="AJ676" s="165"/>
      <c r="AK676" s="165"/>
      <c r="AL676" s="165"/>
      <c r="AM676" s="165"/>
    </row>
    <row r="677" spans="1:39">
      <c r="A677" s="100"/>
      <c r="B677" s="100"/>
      <c r="C677" s="100"/>
      <c r="D677" s="179" t="str">
        <f t="shared" ref="D677:D682" si="649">$G$581</f>
        <v>Software</v>
      </c>
      <c r="E677" s="165" t="str">
        <f>H592</f>
        <v>Terminal International</v>
      </c>
      <c r="F677" s="165"/>
      <c r="G677" s="165" t="s">
        <v>80</v>
      </c>
      <c r="H677" s="121"/>
      <c r="I677" s="165"/>
      <c r="J677" s="165"/>
      <c r="K677" s="530">
        <f>K682</f>
        <v>0</v>
      </c>
      <c r="L677" s="530">
        <f>L682</f>
        <v>0</v>
      </c>
      <c r="M677" s="531"/>
      <c r="N677" s="164"/>
      <c r="O677" s="164">
        <f t="shared" ref="O677:Y677" si="650">N682</f>
        <v>56653.908146312038</v>
      </c>
      <c r="P677" s="164">
        <f t="shared" si="650"/>
        <v>43826.950282922029</v>
      </c>
      <c r="Q677" s="164">
        <f t="shared" si="650"/>
        <v>29347.611511752439</v>
      </c>
      <c r="R677" s="164">
        <f t="shared" si="650"/>
        <v>14901.473009006044</v>
      </c>
      <c r="S677" s="164">
        <f t="shared" si="650"/>
        <v>464.81877553646518</v>
      </c>
      <c r="T677" s="164">
        <f t="shared" si="650"/>
        <v>373.44021819117893</v>
      </c>
      <c r="U677" s="164">
        <f t="shared" si="650"/>
        <v>222.11778869462097</v>
      </c>
      <c r="V677" s="164">
        <f t="shared" si="650"/>
        <v>139.48196265961107</v>
      </c>
      <c r="W677" s="164">
        <f t="shared" si="650"/>
        <v>94.74356104100211</v>
      </c>
      <c r="X677" s="164">
        <f t="shared" si="650"/>
        <v>75.794848832801648</v>
      </c>
      <c r="Y677" s="164">
        <f t="shared" si="650"/>
        <v>56.846136624601186</v>
      </c>
      <c r="Z677" s="164">
        <f t="shared" ref="Z677:AM677" si="651">Y682</f>
        <v>37.897424416400725</v>
      </c>
      <c r="AA677" s="164">
        <f t="shared" si="651"/>
        <v>18.948712208200259</v>
      </c>
      <c r="AB677" s="164">
        <f t="shared" si="651"/>
        <v>-2.0605739337042905E-13</v>
      </c>
      <c r="AC677" s="164">
        <f t="shared" si="651"/>
        <v>-2.0605739337042905E-13</v>
      </c>
      <c r="AD677" s="164">
        <f t="shared" si="651"/>
        <v>-2.0605739337042905E-13</v>
      </c>
      <c r="AE677" s="164">
        <f t="shared" si="651"/>
        <v>-2.0605739337042905E-13</v>
      </c>
      <c r="AF677" s="164">
        <f t="shared" si="651"/>
        <v>-2.0605739337042905E-13</v>
      </c>
      <c r="AG677" s="164">
        <f t="shared" si="651"/>
        <v>-2.0605739337042905E-13</v>
      </c>
      <c r="AH677" s="164">
        <f t="shared" si="651"/>
        <v>-2.0605739337042905E-13</v>
      </c>
      <c r="AI677" s="164">
        <f t="shared" si="651"/>
        <v>-2.0605739337042905E-13</v>
      </c>
      <c r="AJ677" s="164">
        <f t="shared" si="651"/>
        <v>-2.0605739337042905E-13</v>
      </c>
      <c r="AK677" s="164">
        <f t="shared" si="651"/>
        <v>-2.0605739337042905E-13</v>
      </c>
      <c r="AL677" s="164">
        <f t="shared" si="651"/>
        <v>-2.0605739337042905E-13</v>
      </c>
      <c r="AM677" s="164">
        <f t="shared" si="651"/>
        <v>-2.0605739337042905E-13</v>
      </c>
    </row>
    <row r="678" spans="1:39">
      <c r="A678" s="100"/>
      <c r="B678" s="100"/>
      <c r="C678" s="100"/>
      <c r="D678" s="179" t="str">
        <f t="shared" si="649"/>
        <v>Software</v>
      </c>
      <c r="E678" s="165" t="str">
        <f>H592</f>
        <v>Terminal International</v>
      </c>
      <c r="F678" s="165"/>
      <c r="G678" s="165" t="s">
        <v>83</v>
      </c>
      <c r="H678" s="121"/>
      <c r="I678" s="165"/>
      <c r="J678" s="165"/>
      <c r="K678" s="532"/>
      <c r="L678" s="532"/>
      <c r="M678" s="533"/>
      <c r="N678" s="164"/>
      <c r="O678" s="164">
        <f t="shared" ref="O678:X678" si="652">SUMIFS(O$27:O$44,$J$27:$J$44,$G675,$K$27:$K$44,$G678)</f>
        <v>1782.0255642506654</v>
      </c>
      <c r="P678" s="164">
        <f t="shared" si="652"/>
        <v>172.8595419614492</v>
      </c>
      <c r="Q678" s="164">
        <f t="shared" si="652"/>
        <v>274.74641384619224</v>
      </c>
      <c r="R678" s="164">
        <f t="shared" si="652"/>
        <v>341.0768197476084</v>
      </c>
      <c r="S678" s="164">
        <f t="shared" si="652"/>
        <v>103.158757641634</v>
      </c>
      <c r="T678" s="164">
        <f t="shared" si="652"/>
        <v>0</v>
      </c>
      <c r="U678" s="164">
        <f t="shared" si="652"/>
        <v>0</v>
      </c>
      <c r="V678" s="164">
        <f t="shared" si="652"/>
        <v>0</v>
      </c>
      <c r="W678" s="164">
        <f t="shared" si="652"/>
        <v>0</v>
      </c>
      <c r="X678" s="164">
        <f t="shared" si="652"/>
        <v>0</v>
      </c>
      <c r="Y678" s="164">
        <f>SUMIFS(Y$27:Y$44,$J$27:$J$44,$G675,$K$27:$K$44,$G678)</f>
        <v>0</v>
      </c>
      <c r="Z678" s="164">
        <f t="shared" ref="Z678:AM678" si="653">SUMIFS(Z$27:Z$44,$J$27:$J$44,$G675,$K$27:$K$44,$G678)</f>
        <v>0</v>
      </c>
      <c r="AA678" s="164">
        <f t="shared" si="653"/>
        <v>0</v>
      </c>
      <c r="AB678" s="164">
        <f t="shared" si="653"/>
        <v>0</v>
      </c>
      <c r="AC678" s="164">
        <f t="shared" si="653"/>
        <v>0</v>
      </c>
      <c r="AD678" s="164">
        <f t="shared" si="653"/>
        <v>0</v>
      </c>
      <c r="AE678" s="164">
        <f t="shared" si="653"/>
        <v>0</v>
      </c>
      <c r="AF678" s="164">
        <f t="shared" si="653"/>
        <v>0</v>
      </c>
      <c r="AG678" s="164">
        <f t="shared" si="653"/>
        <v>0</v>
      </c>
      <c r="AH678" s="164">
        <f t="shared" si="653"/>
        <v>0</v>
      </c>
      <c r="AI678" s="164">
        <f t="shared" si="653"/>
        <v>0</v>
      </c>
      <c r="AJ678" s="164">
        <f t="shared" si="653"/>
        <v>0</v>
      </c>
      <c r="AK678" s="164">
        <f t="shared" si="653"/>
        <v>0</v>
      </c>
      <c r="AL678" s="164">
        <f t="shared" si="653"/>
        <v>0</v>
      </c>
      <c r="AM678" s="164">
        <f t="shared" si="653"/>
        <v>0</v>
      </c>
    </row>
    <row r="679" spans="1:39">
      <c r="A679" s="100"/>
      <c r="B679" s="100"/>
      <c r="C679" s="100"/>
      <c r="D679" s="179" t="str">
        <f t="shared" si="649"/>
        <v>Software</v>
      </c>
      <c r="E679" s="165" t="str">
        <f>H592</f>
        <v>Terminal International</v>
      </c>
      <c r="F679" s="165"/>
      <c r="G679" s="165" t="s">
        <v>78</v>
      </c>
      <c r="H679" s="121"/>
      <c r="I679" s="165"/>
      <c r="J679" s="165"/>
      <c r="K679" s="197"/>
      <c r="L679" s="197"/>
      <c r="M679" s="477"/>
      <c r="N679" s="164"/>
      <c r="O679" s="164">
        <f t="shared" ref="O679:X679" si="654">O295+SUMIFS(O$27:O$44,$J$27:$J$44,$G675,$K$27:$K$44,$G679)</f>
        <v>14608.983427640676</v>
      </c>
      <c r="P679" s="164">
        <f t="shared" si="654"/>
        <v>14652.198313131039</v>
      </c>
      <c r="Q679" s="164">
        <f t="shared" si="654"/>
        <v>14720.884916592586</v>
      </c>
      <c r="R679" s="164">
        <f t="shared" si="654"/>
        <v>14777.731053217187</v>
      </c>
      <c r="S679" s="164">
        <f t="shared" si="654"/>
        <v>194.53731498692025</v>
      </c>
      <c r="T679" s="164">
        <f t="shared" si="654"/>
        <v>151.32242949655796</v>
      </c>
      <c r="U679" s="164">
        <f t="shared" si="654"/>
        <v>82.635826035009899</v>
      </c>
      <c r="V679" s="164">
        <f t="shared" si="654"/>
        <v>44.738401618608961</v>
      </c>
      <c r="W679" s="164">
        <f t="shared" si="654"/>
        <v>18.948712208200465</v>
      </c>
      <c r="X679" s="164">
        <f t="shared" si="654"/>
        <v>18.948712208200465</v>
      </c>
      <c r="Y679" s="164">
        <f>Y295+SUMIFS(Y$27:Y$44,$J$27:$J$44,$G675,$K$27:$K$44,$G679)</f>
        <v>18.948712208200465</v>
      </c>
      <c r="Z679" s="164">
        <f t="shared" ref="Z679:AM679" si="655">Z295+SUMIFS(Z$27:Z$44,$J$27:$J$44,$G675,$K$27:$K$44,$G679)</f>
        <v>18.948712208200465</v>
      </c>
      <c r="AA679" s="164">
        <f t="shared" si="655"/>
        <v>18.948712208200465</v>
      </c>
      <c r="AB679" s="164">
        <f t="shared" si="655"/>
        <v>0</v>
      </c>
      <c r="AC679" s="164">
        <f t="shared" si="655"/>
        <v>0</v>
      </c>
      <c r="AD679" s="164">
        <f t="shared" si="655"/>
        <v>0</v>
      </c>
      <c r="AE679" s="164">
        <f t="shared" si="655"/>
        <v>0</v>
      </c>
      <c r="AF679" s="164">
        <f t="shared" si="655"/>
        <v>0</v>
      </c>
      <c r="AG679" s="164">
        <f t="shared" si="655"/>
        <v>0</v>
      </c>
      <c r="AH679" s="164">
        <f t="shared" si="655"/>
        <v>0</v>
      </c>
      <c r="AI679" s="164">
        <f t="shared" si="655"/>
        <v>0</v>
      </c>
      <c r="AJ679" s="164">
        <f t="shared" si="655"/>
        <v>0</v>
      </c>
      <c r="AK679" s="164">
        <f t="shared" si="655"/>
        <v>0</v>
      </c>
      <c r="AL679" s="164">
        <f t="shared" si="655"/>
        <v>0</v>
      </c>
      <c r="AM679" s="164">
        <f t="shared" si="655"/>
        <v>0</v>
      </c>
    </row>
    <row r="680" spans="1:39">
      <c r="A680" s="100"/>
      <c r="B680" s="100"/>
      <c r="C680" s="100"/>
      <c r="D680" s="179" t="str">
        <f t="shared" si="649"/>
        <v>Software</v>
      </c>
      <c r="E680" s="165" t="str">
        <f>H592</f>
        <v>Terminal International</v>
      </c>
      <c r="F680" s="165"/>
      <c r="G680" s="165" t="s">
        <v>88</v>
      </c>
      <c r="H680" s="121"/>
      <c r="I680" s="165"/>
      <c r="J680" s="165"/>
      <c r="K680" s="197"/>
      <c r="L680" s="197"/>
      <c r="M680" s="477"/>
      <c r="N680" s="230"/>
      <c r="O680" s="230"/>
      <c r="P680" s="230"/>
      <c r="Q680" s="230"/>
      <c r="R680" s="230"/>
      <c r="S680" s="230"/>
      <c r="T680" s="230"/>
      <c r="U680" s="230"/>
      <c r="V680" s="230"/>
      <c r="W680" s="230"/>
      <c r="X680" s="230"/>
      <c r="Y680" s="230"/>
      <c r="Z680" s="230"/>
      <c r="AA680" s="230"/>
      <c r="AB680" s="230"/>
      <c r="AC680" s="230"/>
      <c r="AD680" s="230"/>
      <c r="AE680" s="230"/>
      <c r="AF680" s="230"/>
      <c r="AG680" s="230"/>
      <c r="AH680" s="230"/>
      <c r="AI680" s="230"/>
      <c r="AJ680" s="230"/>
      <c r="AK680" s="230"/>
      <c r="AL680" s="230"/>
      <c r="AM680" s="230"/>
    </row>
    <row r="681" spans="1:39">
      <c r="A681" s="100"/>
      <c r="B681" s="100"/>
      <c r="C681" s="100"/>
      <c r="D681" s="179" t="str">
        <f t="shared" si="649"/>
        <v>Software</v>
      </c>
      <c r="E681" s="165" t="str">
        <f>H592</f>
        <v>Terminal International</v>
      </c>
      <c r="F681" s="165"/>
      <c r="G681" s="165" t="s">
        <v>87</v>
      </c>
      <c r="H681" s="121"/>
      <c r="I681" s="165"/>
      <c r="J681" s="165"/>
      <c r="K681" s="197"/>
      <c r="L681" s="197"/>
      <c r="M681" s="477"/>
      <c r="N681" s="164"/>
      <c r="O681" s="164">
        <f t="shared" ref="O681:X681" si="656">IF(N677&gt;0,N679/AVERAGE(N677,N682)*O680,0)</f>
        <v>0</v>
      </c>
      <c r="P681" s="164">
        <f t="shared" si="656"/>
        <v>0</v>
      </c>
      <c r="Q681" s="164">
        <f t="shared" si="656"/>
        <v>0</v>
      </c>
      <c r="R681" s="164">
        <f t="shared" si="656"/>
        <v>0</v>
      </c>
      <c r="S681" s="164">
        <f t="shared" si="656"/>
        <v>0</v>
      </c>
      <c r="T681" s="164">
        <f t="shared" si="656"/>
        <v>0</v>
      </c>
      <c r="U681" s="164">
        <f t="shared" si="656"/>
        <v>0</v>
      </c>
      <c r="V681" s="164">
        <f t="shared" si="656"/>
        <v>0</v>
      </c>
      <c r="W681" s="164">
        <f t="shared" si="656"/>
        <v>0</v>
      </c>
      <c r="X681" s="164">
        <f t="shared" si="656"/>
        <v>0</v>
      </c>
      <c r="Y681" s="164">
        <f t="shared" ref="Y681:AM681" si="657">IF(X677&gt;0,X679/AVERAGE(X677,X682)*Y680,0)</f>
        <v>0</v>
      </c>
      <c r="Z681" s="164">
        <f t="shared" si="657"/>
        <v>0</v>
      </c>
      <c r="AA681" s="164">
        <f t="shared" si="657"/>
        <v>0</v>
      </c>
      <c r="AB681" s="164">
        <f t="shared" si="657"/>
        <v>0</v>
      </c>
      <c r="AC681" s="164">
        <f t="shared" si="657"/>
        <v>0</v>
      </c>
      <c r="AD681" s="164">
        <f t="shared" si="657"/>
        <v>0</v>
      </c>
      <c r="AE681" s="164">
        <f t="shared" si="657"/>
        <v>0</v>
      </c>
      <c r="AF681" s="164">
        <f t="shared" si="657"/>
        <v>0</v>
      </c>
      <c r="AG681" s="164">
        <f t="shared" si="657"/>
        <v>0</v>
      </c>
      <c r="AH681" s="164">
        <f t="shared" si="657"/>
        <v>0</v>
      </c>
      <c r="AI681" s="164">
        <f t="shared" si="657"/>
        <v>0</v>
      </c>
      <c r="AJ681" s="164">
        <f t="shared" si="657"/>
        <v>0</v>
      </c>
      <c r="AK681" s="164">
        <f t="shared" si="657"/>
        <v>0</v>
      </c>
      <c r="AL681" s="164">
        <f t="shared" si="657"/>
        <v>0</v>
      </c>
      <c r="AM681" s="164">
        <f t="shared" si="657"/>
        <v>0</v>
      </c>
    </row>
    <row r="682" spans="1:39">
      <c r="A682" s="100"/>
      <c r="B682" s="100"/>
      <c r="C682" s="100"/>
      <c r="D682" s="179" t="str">
        <f t="shared" si="649"/>
        <v>Software</v>
      </c>
      <c r="E682" s="165" t="str">
        <f>H592</f>
        <v>Terminal International</v>
      </c>
      <c r="F682" s="165"/>
      <c r="G682" s="200" t="s">
        <v>76</v>
      </c>
      <c r="H682" s="201"/>
      <c r="I682" s="200"/>
      <c r="J682" s="200"/>
      <c r="K682" s="199">
        <f>K297</f>
        <v>0</v>
      </c>
      <c r="L682" s="199">
        <f>L297</f>
        <v>0</v>
      </c>
      <c r="M682" s="527">
        <f>M297</f>
        <v>0</v>
      </c>
      <c r="N682" s="198">
        <f>N297</f>
        <v>56653.908146312038</v>
      </c>
      <c r="O682" s="198">
        <f t="shared" ref="O682:AM682" si="658">SUM(O677:O678,O680)-SUM(O679,O681)</f>
        <v>43826.950282922029</v>
      </c>
      <c r="P682" s="198">
        <f t="shared" si="658"/>
        <v>29347.611511752439</v>
      </c>
      <c r="Q682" s="198">
        <f t="shared" si="658"/>
        <v>14901.473009006044</v>
      </c>
      <c r="R682" s="198">
        <f t="shared" si="658"/>
        <v>464.81877553646518</v>
      </c>
      <c r="S682" s="198">
        <f t="shared" si="658"/>
        <v>373.44021819117893</v>
      </c>
      <c r="T682" s="198">
        <f t="shared" si="658"/>
        <v>222.11778869462097</v>
      </c>
      <c r="U682" s="198">
        <f t="shared" si="658"/>
        <v>139.48196265961107</v>
      </c>
      <c r="V682" s="198">
        <f t="shared" si="658"/>
        <v>94.74356104100211</v>
      </c>
      <c r="W682" s="198">
        <f t="shared" si="658"/>
        <v>75.794848832801648</v>
      </c>
      <c r="X682" s="198">
        <f t="shared" si="658"/>
        <v>56.846136624601186</v>
      </c>
      <c r="Y682" s="198">
        <f t="shared" si="658"/>
        <v>37.897424416400725</v>
      </c>
      <c r="Z682" s="198">
        <f t="shared" si="658"/>
        <v>18.948712208200259</v>
      </c>
      <c r="AA682" s="198">
        <f t="shared" si="658"/>
        <v>-2.0605739337042905E-13</v>
      </c>
      <c r="AB682" s="198">
        <f t="shared" si="658"/>
        <v>-2.0605739337042905E-13</v>
      </c>
      <c r="AC682" s="198">
        <f t="shared" si="658"/>
        <v>-2.0605739337042905E-13</v>
      </c>
      <c r="AD682" s="198">
        <f t="shared" si="658"/>
        <v>-2.0605739337042905E-13</v>
      </c>
      <c r="AE682" s="198">
        <f t="shared" si="658"/>
        <v>-2.0605739337042905E-13</v>
      </c>
      <c r="AF682" s="198">
        <f t="shared" si="658"/>
        <v>-2.0605739337042905E-13</v>
      </c>
      <c r="AG682" s="198">
        <f t="shared" si="658"/>
        <v>-2.0605739337042905E-13</v>
      </c>
      <c r="AH682" s="198">
        <f t="shared" si="658"/>
        <v>-2.0605739337042905E-13</v>
      </c>
      <c r="AI682" s="198">
        <f t="shared" si="658"/>
        <v>-2.0605739337042905E-13</v>
      </c>
      <c r="AJ682" s="198">
        <f t="shared" si="658"/>
        <v>-2.0605739337042905E-13</v>
      </c>
      <c r="AK682" s="198">
        <f t="shared" si="658"/>
        <v>-2.0605739337042905E-13</v>
      </c>
      <c r="AL682" s="198">
        <f t="shared" si="658"/>
        <v>-2.0605739337042905E-13</v>
      </c>
      <c r="AM682" s="198">
        <f t="shared" si="658"/>
        <v>-2.0605739337042905E-13</v>
      </c>
    </row>
    <row r="683" spans="1:39">
      <c r="A683" s="100"/>
      <c r="B683" s="100"/>
      <c r="C683" s="100"/>
      <c r="D683" s="179"/>
      <c r="E683" s="165"/>
      <c r="F683" s="165"/>
      <c r="G683" s="165"/>
      <c r="H683" s="121"/>
      <c r="I683" s="165"/>
      <c r="J683" s="165"/>
      <c r="K683" s="197"/>
      <c r="L683" s="197"/>
      <c r="M683" s="477"/>
      <c r="N683" s="164"/>
      <c r="O683" s="164"/>
      <c r="P683" s="164"/>
      <c r="Q683" s="164"/>
      <c r="R683" s="164"/>
      <c r="S683" s="164"/>
      <c r="T683" s="164"/>
      <c r="U683" s="164"/>
      <c r="V683" s="164"/>
      <c r="W683" s="164"/>
      <c r="X683" s="164"/>
      <c r="Y683" s="164"/>
      <c r="Z683" s="164"/>
      <c r="AA683" s="164"/>
      <c r="AB683" s="164"/>
      <c r="AC683" s="164"/>
      <c r="AD683" s="164"/>
      <c r="AE683" s="164"/>
      <c r="AF683" s="164"/>
      <c r="AG683" s="164"/>
      <c r="AH683" s="164"/>
      <c r="AI683" s="164"/>
      <c r="AJ683" s="164"/>
      <c r="AK683" s="164"/>
      <c r="AL683" s="164"/>
      <c r="AM683" s="164"/>
    </row>
    <row r="684" spans="1:39">
      <c r="A684" s="100"/>
      <c r="B684" s="100"/>
      <c r="C684" s="100"/>
      <c r="D684" s="179"/>
      <c r="E684" s="165"/>
      <c r="F684" s="165"/>
      <c r="G684" s="165"/>
      <c r="H684" s="121"/>
      <c r="I684" s="165"/>
      <c r="J684" s="165"/>
      <c r="K684" s="197"/>
      <c r="L684" s="197"/>
      <c r="M684" s="477"/>
      <c r="N684" s="164"/>
      <c r="O684" s="164"/>
      <c r="P684" s="164"/>
      <c r="Q684" s="164"/>
      <c r="R684" s="164"/>
      <c r="S684" s="164"/>
      <c r="T684" s="164"/>
      <c r="U684" s="164"/>
      <c r="V684" s="164"/>
      <c r="W684" s="164"/>
      <c r="X684" s="164"/>
      <c r="Y684" s="164"/>
      <c r="Z684" s="164"/>
      <c r="AA684" s="164"/>
      <c r="AB684" s="164"/>
      <c r="AC684" s="164"/>
      <c r="AD684" s="164"/>
      <c r="AE684" s="164"/>
      <c r="AF684" s="164"/>
      <c r="AG684" s="164"/>
      <c r="AH684" s="164"/>
      <c r="AI684" s="164"/>
      <c r="AJ684" s="164"/>
      <c r="AK684" s="164"/>
      <c r="AL684" s="164"/>
      <c r="AM684" s="164"/>
    </row>
    <row r="685" spans="1:39">
      <c r="A685" s="100"/>
      <c r="B685" s="100"/>
      <c r="C685" s="100"/>
      <c r="D685" s="179"/>
      <c r="E685" s="165"/>
      <c r="F685" s="165"/>
      <c r="G685" s="232"/>
      <c r="H685" s="231"/>
      <c r="I685" s="231"/>
      <c r="J685" s="165"/>
      <c r="K685" s="48"/>
      <c r="L685" s="48"/>
      <c r="M685" s="208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  <c r="AA685" s="165"/>
      <c r="AB685" s="165"/>
      <c r="AC685" s="165"/>
      <c r="AD685" s="165"/>
      <c r="AE685" s="165"/>
      <c r="AF685" s="165"/>
      <c r="AG685" s="165"/>
      <c r="AH685" s="165"/>
      <c r="AI685" s="165"/>
      <c r="AJ685" s="165"/>
      <c r="AK685" s="165"/>
      <c r="AL685" s="165"/>
      <c r="AM685" s="165"/>
    </row>
    <row r="686" spans="1:39" ht="15.75">
      <c r="A686" s="100"/>
      <c r="B686" s="100"/>
      <c r="C686" s="100"/>
      <c r="D686" s="179"/>
      <c r="E686" s="165"/>
      <c r="F686" s="165"/>
      <c r="G686" s="89" t="s">
        <v>81</v>
      </c>
      <c r="H686" s="212" t="s">
        <v>8</v>
      </c>
      <c r="I686" s="211"/>
      <c r="J686" s="210"/>
      <c r="K686" s="197"/>
      <c r="L686" s="197"/>
      <c r="M686" s="477"/>
      <c r="N686" s="164"/>
      <c r="O686" s="164"/>
      <c r="P686" s="164"/>
      <c r="Q686" s="164"/>
      <c r="R686" s="164"/>
      <c r="S686" s="164"/>
      <c r="T686" s="164"/>
      <c r="U686" s="164"/>
      <c r="V686" s="164"/>
      <c r="W686" s="164"/>
      <c r="X686" s="164"/>
      <c r="Y686" s="164"/>
      <c r="Z686" s="164"/>
      <c r="AA686" s="164"/>
      <c r="AB686" s="164"/>
      <c r="AC686" s="164"/>
      <c r="AD686" s="164"/>
      <c r="AE686" s="164"/>
      <c r="AF686" s="164"/>
      <c r="AG686" s="164"/>
      <c r="AH686" s="164"/>
      <c r="AI686" s="164"/>
      <c r="AJ686" s="164"/>
      <c r="AK686" s="164"/>
      <c r="AL686" s="164"/>
      <c r="AM686" s="164"/>
    </row>
    <row r="687" spans="1:39">
      <c r="A687" s="100"/>
      <c r="B687" s="100"/>
      <c r="C687" s="100"/>
      <c r="D687" s="179"/>
      <c r="E687" s="165"/>
      <c r="F687" s="165"/>
      <c r="G687" s="209"/>
      <c r="H687" s="121"/>
      <c r="I687" s="165"/>
      <c r="J687" s="165"/>
      <c r="K687" s="204"/>
      <c r="L687" s="48"/>
      <c r="M687" s="208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  <c r="AA687" s="165"/>
      <c r="AB687" s="165"/>
      <c r="AC687" s="165"/>
      <c r="AD687" s="165"/>
      <c r="AE687" s="165"/>
      <c r="AF687" s="165"/>
      <c r="AG687" s="165"/>
      <c r="AH687" s="165"/>
      <c r="AI687" s="165"/>
      <c r="AJ687" s="165"/>
      <c r="AK687" s="165"/>
      <c r="AL687" s="165"/>
      <c r="AM687" s="165"/>
    </row>
    <row r="688" spans="1:39">
      <c r="A688" s="100"/>
      <c r="B688" s="100"/>
      <c r="C688" s="100"/>
      <c r="D688" s="179"/>
      <c r="E688" s="165"/>
      <c r="F688" s="165"/>
      <c r="G688" s="206" t="s">
        <v>38</v>
      </c>
      <c r="H688" s="121"/>
      <c r="I688" s="165"/>
      <c r="J688" s="165"/>
      <c r="K688" s="204"/>
      <c r="L688" s="48"/>
      <c r="M688" s="208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  <c r="AA688" s="165"/>
      <c r="AB688" s="165"/>
      <c r="AC688" s="165"/>
      <c r="AD688" s="165"/>
      <c r="AE688" s="165"/>
      <c r="AF688" s="165"/>
      <c r="AG688" s="165"/>
      <c r="AH688" s="165"/>
      <c r="AI688" s="165"/>
      <c r="AJ688" s="165"/>
      <c r="AK688" s="165"/>
      <c r="AL688" s="165"/>
      <c r="AM688" s="165"/>
    </row>
    <row r="689" spans="1:39">
      <c r="A689" s="100"/>
      <c r="B689" s="100"/>
      <c r="C689" s="100"/>
      <c r="D689" s="179"/>
      <c r="E689" s="165"/>
      <c r="F689" s="165"/>
      <c r="G689" s="165"/>
      <c r="H689" s="121"/>
      <c r="I689" s="165"/>
      <c r="J689" s="165"/>
      <c r="K689" s="204"/>
      <c r="L689" s="48"/>
      <c r="M689" s="208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  <c r="AA689" s="165"/>
      <c r="AB689" s="165"/>
      <c r="AC689" s="165"/>
      <c r="AD689" s="165"/>
      <c r="AE689" s="165"/>
      <c r="AF689" s="165"/>
      <c r="AG689" s="165"/>
      <c r="AH689" s="165"/>
      <c r="AI689" s="165"/>
      <c r="AJ689" s="165"/>
      <c r="AK689" s="165"/>
      <c r="AL689" s="165"/>
      <c r="AM689" s="165"/>
    </row>
    <row r="690" spans="1:39">
      <c r="A690" s="100"/>
      <c r="B690" s="100"/>
      <c r="C690" s="100"/>
      <c r="D690" s="179" t="str">
        <f t="shared" ref="D690:D695" si="659">$G$500</f>
        <v>Land</v>
      </c>
      <c r="E690" s="165" t="str">
        <f>H686</f>
        <v>Terminal Domestic - Jet</v>
      </c>
      <c r="F690" s="165"/>
      <c r="G690" s="165" t="s">
        <v>80</v>
      </c>
      <c r="H690" s="121"/>
      <c r="I690" s="165"/>
      <c r="J690" s="165"/>
      <c r="K690" s="530">
        <f>K695</f>
        <v>0</v>
      </c>
      <c r="L690" s="530">
        <f>L695</f>
        <v>0</v>
      </c>
      <c r="M690" s="531"/>
      <c r="N690" s="164">
        <f t="shared" ref="N690:S690" si="660">M695</f>
        <v>0</v>
      </c>
      <c r="O690" s="164">
        <f t="shared" si="660"/>
        <v>179071.04473881173</v>
      </c>
      <c r="P690" s="164">
        <f t="shared" si="660"/>
        <v>182831.53667832678</v>
      </c>
      <c r="Q690" s="164">
        <f t="shared" si="660"/>
        <v>186670.99894857165</v>
      </c>
      <c r="R690" s="164">
        <f t="shared" si="660"/>
        <v>190591.08992649167</v>
      </c>
      <c r="S690" s="164">
        <f t="shared" si="660"/>
        <v>194593.50281494798</v>
      </c>
      <c r="T690" s="164">
        <f t="shared" ref="T690:Y690" si="661">S695</f>
        <v>198679.96637406189</v>
      </c>
      <c r="U690" s="164">
        <f t="shared" si="661"/>
        <v>203646.96553341343</v>
      </c>
      <c r="V690" s="164">
        <f t="shared" si="661"/>
        <v>208738.13967174877</v>
      </c>
      <c r="W690" s="164">
        <f t="shared" si="661"/>
        <v>213956.59316354248</v>
      </c>
      <c r="X690" s="164">
        <f t="shared" si="661"/>
        <v>219305.50799263103</v>
      </c>
      <c r="Y690" s="164">
        <f t="shared" si="661"/>
        <v>224788.14569244679</v>
      </c>
      <c r="Z690" s="164">
        <f t="shared" ref="Z690:AM690" si="662">Y695</f>
        <v>230407.84933475795</v>
      </c>
      <c r="AA690" s="164">
        <f t="shared" si="662"/>
        <v>236168.04556812689</v>
      </c>
      <c r="AB690" s="164">
        <f t="shared" si="662"/>
        <v>242072.24670733008</v>
      </c>
      <c r="AC690" s="164">
        <f t="shared" si="662"/>
        <v>248124.05287501332</v>
      </c>
      <c r="AD690" s="164">
        <f t="shared" si="662"/>
        <v>254327.15419688864</v>
      </c>
      <c r="AE690" s="164">
        <f t="shared" si="662"/>
        <v>260685.33305181086</v>
      </c>
      <c r="AF690" s="164">
        <f t="shared" si="662"/>
        <v>267202.46637810615</v>
      </c>
      <c r="AG690" s="164">
        <f t="shared" si="662"/>
        <v>273882.52803755883</v>
      </c>
      <c r="AH690" s="164">
        <f t="shared" si="662"/>
        <v>280729.59123849781</v>
      </c>
      <c r="AI690" s="164">
        <f t="shared" si="662"/>
        <v>287747.83101946028</v>
      </c>
      <c r="AJ690" s="164">
        <f t="shared" si="662"/>
        <v>294941.52679494681</v>
      </c>
      <c r="AK690" s="164">
        <f t="shared" si="662"/>
        <v>302315.06496482046</v>
      </c>
      <c r="AL690" s="164">
        <f t="shared" si="662"/>
        <v>302315.06496482046</v>
      </c>
      <c r="AM690" s="164">
        <f t="shared" si="662"/>
        <v>302315.06496482046</v>
      </c>
    </row>
    <row r="691" spans="1:39">
      <c r="A691" s="100"/>
      <c r="B691" s="100"/>
      <c r="C691" s="100"/>
      <c r="D691" s="179" t="str">
        <f t="shared" si="659"/>
        <v>Land</v>
      </c>
      <c r="E691" s="165" t="str">
        <f>H686</f>
        <v>Terminal Domestic - Jet</v>
      </c>
      <c r="F691" s="165"/>
      <c r="G691" s="165" t="s">
        <v>83</v>
      </c>
      <c r="H691" s="121"/>
      <c r="I691" s="165"/>
      <c r="J691" s="165"/>
      <c r="K691" s="532">
        <v>0</v>
      </c>
      <c r="L691" s="532">
        <v>0</v>
      </c>
      <c r="M691" s="533">
        <v>0</v>
      </c>
      <c r="N691" s="164">
        <f>SUMIFS(N$45:N$62,$J$45:$J$62,$G688,$K$45:$K$62,$G691)</f>
        <v>0</v>
      </c>
      <c r="O691" s="164">
        <f t="shared" ref="O691:X691" si="663">SUMIFS(O$45:O$62,$J$45:$J$62,$G688,$K$45:$K$62,$G691)</f>
        <v>0</v>
      </c>
      <c r="P691" s="164">
        <f t="shared" si="663"/>
        <v>0</v>
      </c>
      <c r="Q691" s="164">
        <f t="shared" si="663"/>
        <v>0</v>
      </c>
      <c r="R691" s="164">
        <f t="shared" si="663"/>
        <v>0</v>
      </c>
      <c r="S691" s="164">
        <f t="shared" si="663"/>
        <v>0</v>
      </c>
      <c r="T691" s="164">
        <f t="shared" si="663"/>
        <v>0</v>
      </c>
      <c r="U691" s="164">
        <f t="shared" si="663"/>
        <v>0</v>
      </c>
      <c r="V691" s="164">
        <f t="shared" si="663"/>
        <v>0</v>
      </c>
      <c r="W691" s="164">
        <f t="shared" si="663"/>
        <v>0</v>
      </c>
      <c r="X691" s="164">
        <f t="shared" si="663"/>
        <v>0</v>
      </c>
      <c r="Y691" s="164">
        <f>SUMIFS(Y$45:Y$62,$J$45:$J$62,$G688,$K$45:$K$62,$G691)</f>
        <v>0</v>
      </c>
      <c r="Z691" s="164">
        <f t="shared" ref="Z691:AM691" si="664">SUMIFS(Z$45:Z$62,$J$45:$J$62,$G688,$K$45:$K$62,$G691)</f>
        <v>0</v>
      </c>
      <c r="AA691" s="164">
        <f t="shared" si="664"/>
        <v>0</v>
      </c>
      <c r="AB691" s="164">
        <f t="shared" si="664"/>
        <v>0</v>
      </c>
      <c r="AC691" s="164">
        <f t="shared" si="664"/>
        <v>0</v>
      </c>
      <c r="AD691" s="164">
        <f t="shared" si="664"/>
        <v>0</v>
      </c>
      <c r="AE691" s="164">
        <f t="shared" si="664"/>
        <v>0</v>
      </c>
      <c r="AF691" s="164">
        <f t="shared" si="664"/>
        <v>0</v>
      </c>
      <c r="AG691" s="164">
        <f t="shared" si="664"/>
        <v>0</v>
      </c>
      <c r="AH691" s="164">
        <f t="shared" si="664"/>
        <v>0</v>
      </c>
      <c r="AI691" s="164">
        <f t="shared" si="664"/>
        <v>0</v>
      </c>
      <c r="AJ691" s="164">
        <f t="shared" si="664"/>
        <v>0</v>
      </c>
      <c r="AK691" s="164">
        <f t="shared" si="664"/>
        <v>0</v>
      </c>
      <c r="AL691" s="164">
        <f t="shared" si="664"/>
        <v>0</v>
      </c>
      <c r="AM691" s="164">
        <f t="shared" si="664"/>
        <v>0</v>
      </c>
    </row>
    <row r="692" spans="1:39">
      <c r="A692" s="100"/>
      <c r="B692" s="100"/>
      <c r="C692" s="100"/>
      <c r="D692" s="179" t="str">
        <f t="shared" si="659"/>
        <v>Land</v>
      </c>
      <c r="E692" s="165" t="str">
        <f>H686</f>
        <v>Terminal Domestic - Jet</v>
      </c>
      <c r="F692" s="165"/>
      <c r="G692" s="165" t="s">
        <v>78</v>
      </c>
      <c r="H692" s="121"/>
      <c r="I692" s="165"/>
      <c r="J692" s="165"/>
      <c r="K692" s="197"/>
      <c r="L692" s="197"/>
      <c r="M692" s="477"/>
      <c r="N692" s="164">
        <f>N309+SUMIFS(N$45:N$62,$J$45:$J$62,$G688,$K$45:$K$62,$G692)</f>
        <v>0</v>
      </c>
      <c r="O692" s="164">
        <f t="shared" ref="O692:X692" si="665">O309+SUMIFS(O$45:O$62,$J$45:$J$62,$G688,$K$45:$K$62,$G692)</f>
        <v>0</v>
      </c>
      <c r="P692" s="164">
        <f t="shared" si="665"/>
        <v>0</v>
      </c>
      <c r="Q692" s="164">
        <f t="shared" si="665"/>
        <v>0</v>
      </c>
      <c r="R692" s="164">
        <f t="shared" si="665"/>
        <v>0</v>
      </c>
      <c r="S692" s="164">
        <f t="shared" si="665"/>
        <v>0</v>
      </c>
      <c r="T692" s="164">
        <f t="shared" si="665"/>
        <v>0</v>
      </c>
      <c r="U692" s="164">
        <f t="shared" si="665"/>
        <v>0</v>
      </c>
      <c r="V692" s="164">
        <f t="shared" si="665"/>
        <v>0</v>
      </c>
      <c r="W692" s="164">
        <f t="shared" si="665"/>
        <v>0</v>
      </c>
      <c r="X692" s="164">
        <f t="shared" si="665"/>
        <v>0</v>
      </c>
      <c r="Y692" s="164">
        <f>Y309+SUMIFS(Y$45:Y$62,$J$45:$J$62,$G688,$K$45:$K$62,$G692)</f>
        <v>0</v>
      </c>
      <c r="Z692" s="164">
        <f t="shared" ref="Z692:AM692" si="666">Z309+SUMIFS(Z$45:Z$62,$J$45:$J$62,$G688,$K$45:$K$62,$G692)</f>
        <v>0</v>
      </c>
      <c r="AA692" s="164">
        <f t="shared" si="666"/>
        <v>0</v>
      </c>
      <c r="AB692" s="164">
        <f t="shared" si="666"/>
        <v>0</v>
      </c>
      <c r="AC692" s="164">
        <f t="shared" si="666"/>
        <v>0</v>
      </c>
      <c r="AD692" s="164">
        <f t="shared" si="666"/>
        <v>0</v>
      </c>
      <c r="AE692" s="164">
        <f t="shared" si="666"/>
        <v>0</v>
      </c>
      <c r="AF692" s="164">
        <f t="shared" si="666"/>
        <v>0</v>
      </c>
      <c r="AG692" s="164">
        <f t="shared" si="666"/>
        <v>0</v>
      </c>
      <c r="AH692" s="164">
        <f t="shared" si="666"/>
        <v>0</v>
      </c>
      <c r="AI692" s="164">
        <f t="shared" si="666"/>
        <v>0</v>
      </c>
      <c r="AJ692" s="164">
        <f t="shared" si="666"/>
        <v>0</v>
      </c>
      <c r="AK692" s="164">
        <f t="shared" si="666"/>
        <v>0</v>
      </c>
      <c r="AL692" s="164">
        <f t="shared" si="666"/>
        <v>0</v>
      </c>
      <c r="AM692" s="164">
        <f t="shared" si="666"/>
        <v>0</v>
      </c>
    </row>
    <row r="693" spans="1:39">
      <c r="A693" s="100"/>
      <c r="B693" s="100"/>
      <c r="C693" s="100"/>
      <c r="D693" s="179" t="str">
        <f t="shared" si="659"/>
        <v>Land</v>
      </c>
      <c r="E693" s="165" t="str">
        <f>H686</f>
        <v>Terminal Domestic - Jet</v>
      </c>
      <c r="F693" s="165"/>
      <c r="G693" s="165" t="s">
        <v>88</v>
      </c>
      <c r="H693" s="121"/>
      <c r="I693" s="165"/>
      <c r="J693" s="165"/>
      <c r="K693" s="197"/>
      <c r="L693" s="197"/>
      <c r="M693" s="477"/>
      <c r="N693" s="230"/>
      <c r="O693" s="230">
        <f>N695*'Volume &amp; CPI forecast'!O$13</f>
        <v>3760.4919395150464</v>
      </c>
      <c r="P693" s="230">
        <f>O695*'Volume &amp; CPI forecast'!P$13</f>
        <v>3839.4622702448628</v>
      </c>
      <c r="Q693" s="230">
        <f>P695*'Volume &amp; CPI forecast'!Q$13</f>
        <v>3920.0909779200051</v>
      </c>
      <c r="R693" s="230">
        <f>Q695*'Volume &amp; CPI forecast'!R$13</f>
        <v>4002.4128884563252</v>
      </c>
      <c r="S693" s="230">
        <f>R695*'Volume &amp; CPI forecast'!S$13</f>
        <v>4086.4635591139076</v>
      </c>
      <c r="T693" s="230">
        <f>S695*'Volume &amp; CPI forecast'!T$13</f>
        <v>4966.9991593515479</v>
      </c>
      <c r="U693" s="230">
        <f>T695*'Volume &amp; CPI forecast'!U$13</f>
        <v>5091.1741383353365</v>
      </c>
      <c r="V693" s="230">
        <f>U695*'Volume &amp; CPI forecast'!V$13</f>
        <v>5218.4534917937199</v>
      </c>
      <c r="W693" s="230">
        <f>V695*'Volume &amp; CPI forecast'!W$13</f>
        <v>5348.9148290885623</v>
      </c>
      <c r="X693" s="230">
        <f>W695*'Volume &amp; CPI forecast'!X$13</f>
        <v>5482.6376998157757</v>
      </c>
      <c r="Y693" s="230">
        <f>X695*'Volume &amp; CPI forecast'!Y$13</f>
        <v>5619.7036423111704</v>
      </c>
      <c r="Z693" s="230">
        <f>Y695*'Volume &amp; CPI forecast'!Z$13</f>
        <v>5760.1962333689489</v>
      </c>
      <c r="AA693" s="230">
        <f>Z695*'Volume &amp; CPI forecast'!AA$13</f>
        <v>5904.2011392031727</v>
      </c>
      <c r="AB693" s="230">
        <f>AA695*'Volume &amp; CPI forecast'!AB$13</f>
        <v>6051.8061676832522</v>
      </c>
      <c r="AC693" s="230">
        <f>AB695*'Volume &amp; CPI forecast'!AC$13</f>
        <v>6203.1013218753333</v>
      </c>
      <c r="AD693" s="230">
        <f>AC695*'Volume &amp; CPI forecast'!AD$13</f>
        <v>6358.1788549222165</v>
      </c>
      <c r="AE693" s="230">
        <f>AD695*'Volume &amp; CPI forecast'!AE$13</f>
        <v>6517.1333262952721</v>
      </c>
      <c r="AF693" s="230">
        <f>AE695*'Volume &amp; CPI forecast'!AF$13</f>
        <v>6680.0616594526546</v>
      </c>
      <c r="AG693" s="230">
        <f>AF695*'Volume &amp; CPI forecast'!AG$13</f>
        <v>6847.063200938971</v>
      </c>
      <c r="AH693" s="230">
        <f>AG695*'Volume &amp; CPI forecast'!AH$13</f>
        <v>7018.2397809624454</v>
      </c>
      <c r="AI693" s="230">
        <f>AH695*'Volume &amp; CPI forecast'!AI$13</f>
        <v>7193.695775486507</v>
      </c>
      <c r="AJ693" s="230">
        <f>AI695*'Volume &amp; CPI forecast'!AJ$13</f>
        <v>7373.538169873671</v>
      </c>
      <c r="AK693" s="230">
        <f>AJ695*'Volume &amp; CPI forecast'!AK$13</f>
        <v>0</v>
      </c>
      <c r="AL693" s="230">
        <f>AK695*'Volume &amp; CPI forecast'!AL$13</f>
        <v>0</v>
      </c>
      <c r="AM693" s="230">
        <f>AL695*'Volume &amp; CPI forecast'!AM$13</f>
        <v>0</v>
      </c>
    </row>
    <row r="694" spans="1:39">
      <c r="A694" s="100"/>
      <c r="B694" s="100"/>
      <c r="C694" s="100"/>
      <c r="D694" s="179" t="str">
        <f t="shared" si="659"/>
        <v>Land</v>
      </c>
      <c r="E694" s="165" t="str">
        <f>H686</f>
        <v>Terminal Domestic - Jet</v>
      </c>
      <c r="F694" s="165"/>
      <c r="G694" s="165" t="s">
        <v>87</v>
      </c>
      <c r="H694" s="121"/>
      <c r="I694" s="165"/>
      <c r="J694" s="165"/>
      <c r="K694" s="197"/>
      <c r="L694" s="197"/>
      <c r="M694" s="477"/>
      <c r="N694" s="164">
        <f t="shared" ref="N694:X694" si="667">IF(M690&gt;0,M692/AVERAGE(M690,M695)*N693,0)</f>
        <v>0</v>
      </c>
      <c r="O694" s="164">
        <f t="shared" si="667"/>
        <v>0</v>
      </c>
      <c r="P694" s="164">
        <f t="shared" si="667"/>
        <v>0</v>
      </c>
      <c r="Q694" s="164">
        <f t="shared" si="667"/>
        <v>0</v>
      </c>
      <c r="R694" s="164">
        <f t="shared" si="667"/>
        <v>0</v>
      </c>
      <c r="S694" s="164">
        <f t="shared" si="667"/>
        <v>0</v>
      </c>
      <c r="T694" s="164">
        <f t="shared" si="667"/>
        <v>0</v>
      </c>
      <c r="U694" s="164">
        <f t="shared" si="667"/>
        <v>0</v>
      </c>
      <c r="V694" s="164">
        <f t="shared" si="667"/>
        <v>0</v>
      </c>
      <c r="W694" s="164">
        <f t="shared" si="667"/>
        <v>0</v>
      </c>
      <c r="X694" s="164">
        <f t="shared" si="667"/>
        <v>0</v>
      </c>
      <c r="Y694" s="164">
        <f t="shared" ref="Y694:AM694" si="668">IF(X690&gt;0,X692/AVERAGE(X690,X695)*Y693,0)</f>
        <v>0</v>
      </c>
      <c r="Z694" s="164">
        <f t="shared" si="668"/>
        <v>0</v>
      </c>
      <c r="AA694" s="164">
        <f t="shared" si="668"/>
        <v>0</v>
      </c>
      <c r="AB694" s="164">
        <f t="shared" si="668"/>
        <v>0</v>
      </c>
      <c r="AC694" s="164">
        <f t="shared" si="668"/>
        <v>0</v>
      </c>
      <c r="AD694" s="164">
        <f t="shared" si="668"/>
        <v>0</v>
      </c>
      <c r="AE694" s="164">
        <f t="shared" si="668"/>
        <v>0</v>
      </c>
      <c r="AF694" s="164">
        <f t="shared" si="668"/>
        <v>0</v>
      </c>
      <c r="AG694" s="164">
        <f t="shared" si="668"/>
        <v>0</v>
      </c>
      <c r="AH694" s="164">
        <f t="shared" si="668"/>
        <v>0</v>
      </c>
      <c r="AI694" s="164">
        <f t="shared" si="668"/>
        <v>0</v>
      </c>
      <c r="AJ694" s="164">
        <f t="shared" si="668"/>
        <v>0</v>
      </c>
      <c r="AK694" s="164">
        <f t="shared" si="668"/>
        <v>0</v>
      </c>
      <c r="AL694" s="164">
        <f t="shared" si="668"/>
        <v>0</v>
      </c>
      <c r="AM694" s="164">
        <f t="shared" si="668"/>
        <v>0</v>
      </c>
    </row>
    <row r="695" spans="1:39">
      <c r="A695" s="100"/>
      <c r="B695" s="100"/>
      <c r="C695" s="100"/>
      <c r="D695" s="179" t="str">
        <f t="shared" si="659"/>
        <v>Land</v>
      </c>
      <c r="E695" s="165" t="str">
        <f>H686</f>
        <v>Terminal Domestic - Jet</v>
      </c>
      <c r="F695" s="165"/>
      <c r="G695" s="200" t="s">
        <v>76</v>
      </c>
      <c r="H695" s="201"/>
      <c r="I695" s="200"/>
      <c r="J695" s="200"/>
      <c r="K695" s="199">
        <f>K311</f>
        <v>0</v>
      </c>
      <c r="L695" s="199">
        <f>L311</f>
        <v>0</v>
      </c>
      <c r="M695" s="527">
        <f>M311</f>
        <v>0</v>
      </c>
      <c r="N695" s="198">
        <f>N311</f>
        <v>179071.04473881173</v>
      </c>
      <c r="O695" s="198">
        <f t="shared" ref="O695:AM695" si="669">SUM(O690:O691,O693)-SUM(O692,O694)</f>
        <v>182831.53667832678</v>
      </c>
      <c r="P695" s="198">
        <f t="shared" si="669"/>
        <v>186670.99894857165</v>
      </c>
      <c r="Q695" s="198">
        <f t="shared" si="669"/>
        <v>190591.08992649167</v>
      </c>
      <c r="R695" s="198">
        <f t="shared" si="669"/>
        <v>194593.50281494798</v>
      </c>
      <c r="S695" s="198">
        <f t="shared" si="669"/>
        <v>198679.96637406189</v>
      </c>
      <c r="T695" s="198">
        <f t="shared" si="669"/>
        <v>203646.96553341343</v>
      </c>
      <c r="U695" s="198">
        <f t="shared" si="669"/>
        <v>208738.13967174877</v>
      </c>
      <c r="V695" s="198">
        <f t="shared" si="669"/>
        <v>213956.59316354248</v>
      </c>
      <c r="W695" s="198">
        <f t="shared" si="669"/>
        <v>219305.50799263103</v>
      </c>
      <c r="X695" s="198">
        <f t="shared" si="669"/>
        <v>224788.14569244679</v>
      </c>
      <c r="Y695" s="198">
        <f t="shared" si="669"/>
        <v>230407.84933475795</v>
      </c>
      <c r="Z695" s="198">
        <f t="shared" si="669"/>
        <v>236168.04556812689</v>
      </c>
      <c r="AA695" s="198">
        <f t="shared" si="669"/>
        <v>242072.24670733008</v>
      </c>
      <c r="AB695" s="198">
        <f t="shared" si="669"/>
        <v>248124.05287501332</v>
      </c>
      <c r="AC695" s="198">
        <f t="shared" si="669"/>
        <v>254327.15419688864</v>
      </c>
      <c r="AD695" s="198">
        <f t="shared" si="669"/>
        <v>260685.33305181086</v>
      </c>
      <c r="AE695" s="198">
        <f t="shared" si="669"/>
        <v>267202.46637810615</v>
      </c>
      <c r="AF695" s="198">
        <f t="shared" si="669"/>
        <v>273882.52803755883</v>
      </c>
      <c r="AG695" s="198">
        <f t="shared" si="669"/>
        <v>280729.59123849781</v>
      </c>
      <c r="AH695" s="198">
        <f t="shared" si="669"/>
        <v>287747.83101946028</v>
      </c>
      <c r="AI695" s="198">
        <f t="shared" si="669"/>
        <v>294941.52679494681</v>
      </c>
      <c r="AJ695" s="198">
        <f t="shared" si="669"/>
        <v>302315.06496482046</v>
      </c>
      <c r="AK695" s="198">
        <f t="shared" si="669"/>
        <v>302315.06496482046</v>
      </c>
      <c r="AL695" s="198">
        <f t="shared" si="669"/>
        <v>302315.06496482046</v>
      </c>
      <c r="AM695" s="198">
        <f t="shared" si="669"/>
        <v>302315.06496482046</v>
      </c>
    </row>
    <row r="696" spans="1:39">
      <c r="A696" s="100"/>
      <c r="B696" s="100"/>
      <c r="C696" s="100"/>
      <c r="D696" s="179"/>
      <c r="E696" s="165"/>
      <c r="F696" s="165"/>
      <c r="G696" s="165"/>
      <c r="H696" s="121"/>
      <c r="I696" s="165"/>
      <c r="J696" s="165"/>
      <c r="K696" s="197"/>
      <c r="L696" s="197"/>
      <c r="M696" s="477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</row>
    <row r="697" spans="1:39">
      <c r="A697" s="100"/>
      <c r="B697" s="100"/>
      <c r="C697" s="100"/>
      <c r="D697" s="179"/>
      <c r="E697" s="165"/>
      <c r="F697" s="165"/>
      <c r="G697" s="206" t="s">
        <v>37</v>
      </c>
      <c r="H697" s="121"/>
      <c r="I697" s="165"/>
      <c r="J697" s="165"/>
      <c r="K697" s="204"/>
      <c r="L697" s="197"/>
      <c r="M697" s="477"/>
      <c r="N697" s="164"/>
      <c r="O697" s="164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  <c r="AE697" s="165"/>
      <c r="AF697" s="165"/>
      <c r="AG697" s="165"/>
      <c r="AH697" s="165"/>
      <c r="AI697" s="165"/>
      <c r="AJ697" s="165"/>
      <c r="AK697" s="165"/>
      <c r="AL697" s="165"/>
      <c r="AM697" s="165"/>
    </row>
    <row r="698" spans="1:39">
      <c r="A698" s="100"/>
      <c r="B698" s="100"/>
      <c r="C698" s="100"/>
      <c r="D698" s="179"/>
      <c r="E698" s="165"/>
      <c r="F698" s="165"/>
      <c r="G698" s="205"/>
      <c r="H698" s="121"/>
      <c r="I698" s="165"/>
      <c r="J698" s="165"/>
      <c r="K698" s="204"/>
      <c r="L698" s="197"/>
      <c r="M698" s="477"/>
      <c r="N698" s="164"/>
      <c r="O698" s="164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  <c r="AA698" s="165"/>
      <c r="AB698" s="165"/>
      <c r="AC698" s="165"/>
      <c r="AD698" s="165"/>
      <c r="AE698" s="165"/>
      <c r="AF698" s="165"/>
      <c r="AG698" s="165"/>
      <c r="AH698" s="165"/>
      <c r="AI698" s="165"/>
      <c r="AJ698" s="165"/>
      <c r="AK698" s="165"/>
      <c r="AL698" s="165"/>
      <c r="AM698" s="165"/>
    </row>
    <row r="699" spans="1:39">
      <c r="A699" s="100"/>
      <c r="B699" s="100"/>
      <c r="C699" s="100"/>
      <c r="D699" s="179" t="str">
        <f t="shared" ref="D699:D704" si="670">$G$509</f>
        <v>Buildings</v>
      </c>
      <c r="E699" s="165" t="str">
        <f>H686</f>
        <v>Terminal Domestic - Jet</v>
      </c>
      <c r="F699" s="165"/>
      <c r="G699" s="165" t="s">
        <v>80</v>
      </c>
      <c r="H699" s="121"/>
      <c r="I699" s="165"/>
      <c r="J699" s="165"/>
      <c r="K699" s="530">
        <f>K704</f>
        <v>0</v>
      </c>
      <c r="L699" s="530">
        <f>L704</f>
        <v>0</v>
      </c>
      <c r="M699" s="531"/>
      <c r="N699" s="164"/>
      <c r="O699" s="164">
        <f t="shared" ref="O699:Y699" si="671">N704</f>
        <v>95971.753896297174</v>
      </c>
      <c r="P699" s="164">
        <f t="shared" si="671"/>
        <v>97987.160728119416</v>
      </c>
      <c r="Q699" s="164">
        <f t="shared" si="671"/>
        <v>100044.89110340993</v>
      </c>
      <c r="R699" s="164">
        <f t="shared" si="671"/>
        <v>102145.83381658154</v>
      </c>
      <c r="S699" s="164">
        <f t="shared" si="671"/>
        <v>104290.89632672975</v>
      </c>
      <c r="T699" s="164">
        <f t="shared" si="671"/>
        <v>106481.00514959107</v>
      </c>
      <c r="U699" s="164">
        <f t="shared" si="671"/>
        <v>109143.03027833084</v>
      </c>
      <c r="V699" s="164">
        <f t="shared" si="671"/>
        <v>111871.60603528912</v>
      </c>
      <c r="W699" s="164">
        <f t="shared" si="671"/>
        <v>114668.39618617135</v>
      </c>
      <c r="X699" s="164">
        <f t="shared" si="671"/>
        <v>117535.10609082563</v>
      </c>
      <c r="Y699" s="164">
        <f t="shared" si="671"/>
        <v>120473.48374309628</v>
      </c>
      <c r="Z699" s="164">
        <f t="shared" ref="Z699:AM699" si="672">Y704</f>
        <v>123485.32083667369</v>
      </c>
      <c r="AA699" s="164">
        <f t="shared" si="672"/>
        <v>126572.45385759053</v>
      </c>
      <c r="AB699" s="164">
        <f t="shared" si="672"/>
        <v>129736.76520403029</v>
      </c>
      <c r="AC699" s="164">
        <f t="shared" si="672"/>
        <v>132980.18433413105</v>
      </c>
      <c r="AD699" s="164">
        <f t="shared" si="672"/>
        <v>136304.68894248432</v>
      </c>
      <c r="AE699" s="164">
        <f t="shared" si="672"/>
        <v>139712.30616604644</v>
      </c>
      <c r="AF699" s="164">
        <f t="shared" si="672"/>
        <v>143205.11382019761</v>
      </c>
      <c r="AG699" s="164">
        <f t="shared" si="672"/>
        <v>146785.24166570255</v>
      </c>
      <c r="AH699" s="164">
        <f t="shared" si="672"/>
        <v>150454.87270734512</v>
      </c>
      <c r="AI699" s="164">
        <f t="shared" si="672"/>
        <v>154216.24452502874</v>
      </c>
      <c r="AJ699" s="164">
        <f t="shared" si="672"/>
        <v>158071.65063815448</v>
      </c>
      <c r="AK699" s="164">
        <f t="shared" si="672"/>
        <v>162023.44190410833</v>
      </c>
      <c r="AL699" s="164">
        <f t="shared" si="672"/>
        <v>162023.44190410833</v>
      </c>
      <c r="AM699" s="164">
        <f t="shared" si="672"/>
        <v>162023.44190410833</v>
      </c>
    </row>
    <row r="700" spans="1:39">
      <c r="A700" s="100"/>
      <c r="B700" s="100"/>
      <c r="C700" s="100"/>
      <c r="D700" s="179" t="str">
        <f t="shared" si="670"/>
        <v>Buildings</v>
      </c>
      <c r="E700" s="165" t="str">
        <f>H686</f>
        <v>Terminal Domestic - Jet</v>
      </c>
      <c r="F700" s="165"/>
      <c r="G700" s="165" t="s">
        <v>83</v>
      </c>
      <c r="H700" s="121"/>
      <c r="I700" s="165"/>
      <c r="J700" s="165"/>
      <c r="K700" s="532"/>
      <c r="L700" s="532"/>
      <c r="M700" s="533"/>
      <c r="N700" s="164"/>
      <c r="O700" s="164">
        <f t="shared" ref="O700:X700" si="673">SUMIFS(O$45:O$62,$J$45:$J$62,$G697,$K$45:$K$62,$G700)</f>
        <v>0</v>
      </c>
      <c r="P700" s="164">
        <f t="shared" si="673"/>
        <v>0</v>
      </c>
      <c r="Q700" s="164">
        <f t="shared" si="673"/>
        <v>0</v>
      </c>
      <c r="R700" s="164">
        <f t="shared" si="673"/>
        <v>0</v>
      </c>
      <c r="S700" s="164">
        <f t="shared" si="673"/>
        <v>0</v>
      </c>
      <c r="T700" s="164">
        <f t="shared" si="673"/>
        <v>0</v>
      </c>
      <c r="U700" s="164">
        <f t="shared" si="673"/>
        <v>0</v>
      </c>
      <c r="V700" s="164">
        <f t="shared" si="673"/>
        <v>0</v>
      </c>
      <c r="W700" s="164">
        <f t="shared" si="673"/>
        <v>0</v>
      </c>
      <c r="X700" s="164">
        <f t="shared" si="673"/>
        <v>0</v>
      </c>
      <c r="Y700" s="164">
        <f>SUMIFS(Y$45:Y$62,$J$45:$J$62,$G697,$K$45:$K$62,$G700)</f>
        <v>0</v>
      </c>
      <c r="Z700" s="164">
        <f t="shared" ref="Z700:AM700" si="674">SUMIFS(Z$45:Z$62,$J$45:$J$62,$G697,$K$45:$K$62,$G700)</f>
        <v>0</v>
      </c>
      <c r="AA700" s="164">
        <f t="shared" si="674"/>
        <v>0</v>
      </c>
      <c r="AB700" s="164">
        <f t="shared" si="674"/>
        <v>0</v>
      </c>
      <c r="AC700" s="164">
        <f t="shared" si="674"/>
        <v>0</v>
      </c>
      <c r="AD700" s="164">
        <f t="shared" si="674"/>
        <v>0</v>
      </c>
      <c r="AE700" s="164">
        <f t="shared" si="674"/>
        <v>0</v>
      </c>
      <c r="AF700" s="164">
        <f t="shared" si="674"/>
        <v>0</v>
      </c>
      <c r="AG700" s="164">
        <f t="shared" si="674"/>
        <v>0</v>
      </c>
      <c r="AH700" s="164">
        <f t="shared" si="674"/>
        <v>0</v>
      </c>
      <c r="AI700" s="164">
        <f t="shared" si="674"/>
        <v>0</v>
      </c>
      <c r="AJ700" s="164">
        <f t="shared" si="674"/>
        <v>0</v>
      </c>
      <c r="AK700" s="164">
        <f t="shared" si="674"/>
        <v>0</v>
      </c>
      <c r="AL700" s="164">
        <f t="shared" si="674"/>
        <v>0</v>
      </c>
      <c r="AM700" s="164">
        <f t="shared" si="674"/>
        <v>0</v>
      </c>
    </row>
    <row r="701" spans="1:39">
      <c r="A701" s="100"/>
      <c r="B701" s="100"/>
      <c r="C701" s="100"/>
      <c r="D701" s="179" t="str">
        <f t="shared" si="670"/>
        <v>Buildings</v>
      </c>
      <c r="E701" s="165" t="str">
        <f>H686</f>
        <v>Terminal Domestic - Jet</v>
      </c>
      <c r="F701" s="165"/>
      <c r="G701" s="165" t="s">
        <v>78</v>
      </c>
      <c r="H701" s="121"/>
      <c r="I701" s="165"/>
      <c r="J701" s="165"/>
      <c r="K701" s="197"/>
      <c r="L701" s="197"/>
      <c r="M701" s="477"/>
      <c r="N701" s="164"/>
      <c r="O701" s="164">
        <f t="shared" ref="O701:X701" si="675">O318+SUMIFS(O$45:O$62,$J$45:$J$62,$G697,$K$45:$K$62,$G701)</f>
        <v>0</v>
      </c>
      <c r="P701" s="164">
        <f t="shared" si="675"/>
        <v>0</v>
      </c>
      <c r="Q701" s="164">
        <f t="shared" si="675"/>
        <v>0</v>
      </c>
      <c r="R701" s="164">
        <f t="shared" si="675"/>
        <v>0</v>
      </c>
      <c r="S701" s="164">
        <f t="shared" si="675"/>
        <v>0</v>
      </c>
      <c r="T701" s="164">
        <f t="shared" si="675"/>
        <v>0</v>
      </c>
      <c r="U701" s="164">
        <f t="shared" si="675"/>
        <v>0</v>
      </c>
      <c r="V701" s="164">
        <f t="shared" si="675"/>
        <v>0</v>
      </c>
      <c r="W701" s="164">
        <f t="shared" si="675"/>
        <v>0</v>
      </c>
      <c r="X701" s="164">
        <f t="shared" si="675"/>
        <v>0</v>
      </c>
      <c r="Y701" s="164">
        <f>Y318+SUMIFS(Y$45:Y$62,$J$45:$J$62,$G697,$K$45:$K$62,$G701)</f>
        <v>0</v>
      </c>
      <c r="Z701" s="164">
        <f t="shared" ref="Z701:AM701" si="676">Z318+SUMIFS(Z$45:Z$62,$J$45:$J$62,$G697,$K$45:$K$62,$G701)</f>
        <v>0</v>
      </c>
      <c r="AA701" s="164">
        <f t="shared" si="676"/>
        <v>0</v>
      </c>
      <c r="AB701" s="164">
        <f t="shared" si="676"/>
        <v>0</v>
      </c>
      <c r="AC701" s="164">
        <f t="shared" si="676"/>
        <v>0</v>
      </c>
      <c r="AD701" s="164">
        <f t="shared" si="676"/>
        <v>0</v>
      </c>
      <c r="AE701" s="164">
        <f t="shared" si="676"/>
        <v>0</v>
      </c>
      <c r="AF701" s="164">
        <f t="shared" si="676"/>
        <v>0</v>
      </c>
      <c r="AG701" s="164">
        <f t="shared" si="676"/>
        <v>0</v>
      </c>
      <c r="AH701" s="164">
        <f t="shared" si="676"/>
        <v>0</v>
      </c>
      <c r="AI701" s="164">
        <f t="shared" si="676"/>
        <v>0</v>
      </c>
      <c r="AJ701" s="164">
        <f t="shared" si="676"/>
        <v>0</v>
      </c>
      <c r="AK701" s="164">
        <f t="shared" si="676"/>
        <v>0</v>
      </c>
      <c r="AL701" s="164">
        <f t="shared" si="676"/>
        <v>0</v>
      </c>
      <c r="AM701" s="164">
        <f t="shared" si="676"/>
        <v>0</v>
      </c>
    </row>
    <row r="702" spans="1:39">
      <c r="A702" s="100"/>
      <c r="B702" s="100"/>
      <c r="C702" s="100"/>
      <c r="D702" s="179" t="str">
        <f t="shared" si="670"/>
        <v>Buildings</v>
      </c>
      <c r="E702" s="165" t="str">
        <f>H686</f>
        <v>Terminal Domestic - Jet</v>
      </c>
      <c r="F702" s="165"/>
      <c r="G702" s="165" t="s">
        <v>88</v>
      </c>
      <c r="H702" s="121"/>
      <c r="I702" s="165"/>
      <c r="J702" s="165"/>
      <c r="K702" s="197"/>
      <c r="L702" s="197"/>
      <c r="M702" s="477"/>
      <c r="N702" s="230"/>
      <c r="O702" s="230">
        <f>N704*'Volume &amp; CPI forecast'!O$13</f>
        <v>2015.4068318222407</v>
      </c>
      <c r="P702" s="230">
        <f>O704*'Volume &amp; CPI forecast'!P$13</f>
        <v>2057.7303752905077</v>
      </c>
      <c r="Q702" s="230">
        <f>P704*'Volume &amp; CPI forecast'!Q$13</f>
        <v>2100.9427131716088</v>
      </c>
      <c r="R702" s="230">
        <f>Q704*'Volume &amp; CPI forecast'!R$13</f>
        <v>2145.0625101482124</v>
      </c>
      <c r="S702" s="230">
        <f>R704*'Volume &amp; CPI forecast'!S$13</f>
        <v>2190.1088228613248</v>
      </c>
      <c r="T702" s="230">
        <f>S704*'Volume &amp; CPI forecast'!T$13</f>
        <v>2662.0251287397768</v>
      </c>
      <c r="U702" s="230">
        <f>T704*'Volume &amp; CPI forecast'!U$13</f>
        <v>2728.5757569582711</v>
      </c>
      <c r="V702" s="230">
        <f>U704*'Volume &amp; CPI forecast'!V$13</f>
        <v>2796.7901508822283</v>
      </c>
      <c r="W702" s="230">
        <f>V704*'Volume &amp; CPI forecast'!W$13</f>
        <v>2866.7099046542839</v>
      </c>
      <c r="X702" s="230">
        <f>W704*'Volume &amp; CPI forecast'!X$13</f>
        <v>2938.3776522706412</v>
      </c>
      <c r="Y702" s="230">
        <f>X704*'Volume &amp; CPI forecast'!Y$13</f>
        <v>3011.8370935774074</v>
      </c>
      <c r="Z702" s="230">
        <f>Y704*'Volume &amp; CPI forecast'!Z$13</f>
        <v>3087.1330209168427</v>
      </c>
      <c r="AA702" s="230">
        <f>Z704*'Volume &amp; CPI forecast'!AA$13</f>
        <v>3164.3113464397634</v>
      </c>
      <c r="AB702" s="230">
        <f>AA704*'Volume &amp; CPI forecast'!AB$13</f>
        <v>3243.4191301007577</v>
      </c>
      <c r="AC702" s="230">
        <f>AB704*'Volume &amp; CPI forecast'!AC$13</f>
        <v>3324.5046083532761</v>
      </c>
      <c r="AD702" s="230">
        <f>AC704*'Volume &amp; CPI forecast'!AD$13</f>
        <v>3407.6172235621084</v>
      </c>
      <c r="AE702" s="230">
        <f>AD704*'Volume &amp; CPI forecast'!AE$13</f>
        <v>3492.8076541511614</v>
      </c>
      <c r="AF702" s="230">
        <f>AE704*'Volume &amp; CPI forecast'!AF$13</f>
        <v>3580.1278455049405</v>
      </c>
      <c r="AG702" s="230">
        <f>AF704*'Volume &amp; CPI forecast'!AG$13</f>
        <v>3669.631041642564</v>
      </c>
      <c r="AH702" s="230">
        <f>AG704*'Volume &amp; CPI forecast'!AH$13</f>
        <v>3761.3718176836283</v>
      </c>
      <c r="AI702" s="230">
        <f>AH704*'Volume &amp; CPI forecast'!AI$13</f>
        <v>3855.4061131257185</v>
      </c>
      <c r="AJ702" s="230">
        <f>AI704*'Volume &amp; CPI forecast'!AJ$13</f>
        <v>3951.791265953862</v>
      </c>
      <c r="AK702" s="230">
        <f>AJ704*'Volume &amp; CPI forecast'!AK$13</f>
        <v>0</v>
      </c>
      <c r="AL702" s="230">
        <f>AK704*'Volume &amp; CPI forecast'!AL$13</f>
        <v>0</v>
      </c>
      <c r="AM702" s="230">
        <f>AL704*'Volume &amp; CPI forecast'!AM$13</f>
        <v>0</v>
      </c>
    </row>
    <row r="703" spans="1:39">
      <c r="A703" s="100"/>
      <c r="B703" s="100"/>
      <c r="C703" s="100"/>
      <c r="D703" s="179" t="str">
        <f t="shared" si="670"/>
        <v>Buildings</v>
      </c>
      <c r="E703" s="165" t="str">
        <f>H686</f>
        <v>Terminal Domestic - Jet</v>
      </c>
      <c r="F703" s="165"/>
      <c r="G703" s="165" t="s">
        <v>87</v>
      </c>
      <c r="H703" s="121"/>
      <c r="I703" s="165"/>
      <c r="J703" s="165"/>
      <c r="K703" s="197"/>
      <c r="L703" s="197"/>
      <c r="M703" s="477"/>
      <c r="N703" s="164"/>
      <c r="O703" s="164">
        <f t="shared" ref="O703:X703" si="677">IF(N699&gt;0,N701/AVERAGE(N699,N704)*O702,0)</f>
        <v>0</v>
      </c>
      <c r="P703" s="164">
        <f t="shared" si="677"/>
        <v>0</v>
      </c>
      <c r="Q703" s="164">
        <f t="shared" si="677"/>
        <v>0</v>
      </c>
      <c r="R703" s="164">
        <f t="shared" si="677"/>
        <v>0</v>
      </c>
      <c r="S703" s="164">
        <f t="shared" si="677"/>
        <v>0</v>
      </c>
      <c r="T703" s="164">
        <f t="shared" si="677"/>
        <v>0</v>
      </c>
      <c r="U703" s="164">
        <f t="shared" si="677"/>
        <v>0</v>
      </c>
      <c r="V703" s="164">
        <f t="shared" si="677"/>
        <v>0</v>
      </c>
      <c r="W703" s="164">
        <f t="shared" si="677"/>
        <v>0</v>
      </c>
      <c r="X703" s="164">
        <f t="shared" si="677"/>
        <v>0</v>
      </c>
      <c r="Y703" s="164">
        <f t="shared" ref="Y703:AM703" si="678">IF(X699&gt;0,X701/AVERAGE(X699,X704)*Y702,0)</f>
        <v>0</v>
      </c>
      <c r="Z703" s="164">
        <f t="shared" si="678"/>
        <v>0</v>
      </c>
      <c r="AA703" s="164">
        <f t="shared" si="678"/>
        <v>0</v>
      </c>
      <c r="AB703" s="164">
        <f t="shared" si="678"/>
        <v>0</v>
      </c>
      <c r="AC703" s="164">
        <f t="shared" si="678"/>
        <v>0</v>
      </c>
      <c r="AD703" s="164">
        <f t="shared" si="678"/>
        <v>0</v>
      </c>
      <c r="AE703" s="164">
        <f t="shared" si="678"/>
        <v>0</v>
      </c>
      <c r="AF703" s="164">
        <f t="shared" si="678"/>
        <v>0</v>
      </c>
      <c r="AG703" s="164">
        <f t="shared" si="678"/>
        <v>0</v>
      </c>
      <c r="AH703" s="164">
        <f t="shared" si="678"/>
        <v>0</v>
      </c>
      <c r="AI703" s="164">
        <f t="shared" si="678"/>
        <v>0</v>
      </c>
      <c r="AJ703" s="164">
        <f t="shared" si="678"/>
        <v>0</v>
      </c>
      <c r="AK703" s="164">
        <f t="shared" si="678"/>
        <v>0</v>
      </c>
      <c r="AL703" s="164">
        <f t="shared" si="678"/>
        <v>0</v>
      </c>
      <c r="AM703" s="164">
        <f t="shared" si="678"/>
        <v>0</v>
      </c>
    </row>
    <row r="704" spans="1:39">
      <c r="A704" s="100"/>
      <c r="B704" s="100"/>
      <c r="C704" s="100"/>
      <c r="D704" s="179" t="str">
        <f t="shared" si="670"/>
        <v>Buildings</v>
      </c>
      <c r="E704" s="165" t="str">
        <f>H686</f>
        <v>Terminal Domestic - Jet</v>
      </c>
      <c r="F704" s="165"/>
      <c r="G704" s="200" t="s">
        <v>76</v>
      </c>
      <c r="H704" s="201"/>
      <c r="I704" s="200"/>
      <c r="J704" s="200"/>
      <c r="K704" s="199">
        <f>K320</f>
        <v>0</v>
      </c>
      <c r="L704" s="199">
        <f>L320</f>
        <v>0</v>
      </c>
      <c r="M704" s="527">
        <f>M320</f>
        <v>0</v>
      </c>
      <c r="N704" s="198">
        <f>N320</f>
        <v>95971.753896297174</v>
      </c>
      <c r="O704" s="198">
        <f t="shared" ref="O704:AM704" si="679">SUM(O699:O700,O702)-SUM(O701,O703)</f>
        <v>97987.160728119416</v>
      </c>
      <c r="P704" s="198">
        <f t="shared" si="679"/>
        <v>100044.89110340993</v>
      </c>
      <c r="Q704" s="198">
        <f t="shared" si="679"/>
        <v>102145.83381658154</v>
      </c>
      <c r="R704" s="198">
        <f t="shared" si="679"/>
        <v>104290.89632672975</v>
      </c>
      <c r="S704" s="198">
        <f t="shared" si="679"/>
        <v>106481.00514959107</v>
      </c>
      <c r="T704" s="198">
        <f t="shared" si="679"/>
        <v>109143.03027833084</v>
      </c>
      <c r="U704" s="198">
        <f t="shared" si="679"/>
        <v>111871.60603528912</v>
      </c>
      <c r="V704" s="198">
        <f t="shared" si="679"/>
        <v>114668.39618617135</v>
      </c>
      <c r="W704" s="198">
        <f t="shared" si="679"/>
        <v>117535.10609082563</v>
      </c>
      <c r="X704" s="198">
        <f t="shared" si="679"/>
        <v>120473.48374309628</v>
      </c>
      <c r="Y704" s="198">
        <f t="shared" si="679"/>
        <v>123485.32083667369</v>
      </c>
      <c r="Z704" s="198">
        <f t="shared" si="679"/>
        <v>126572.45385759053</v>
      </c>
      <c r="AA704" s="198">
        <f t="shared" si="679"/>
        <v>129736.76520403029</v>
      </c>
      <c r="AB704" s="198">
        <f t="shared" si="679"/>
        <v>132980.18433413105</v>
      </c>
      <c r="AC704" s="198">
        <f t="shared" si="679"/>
        <v>136304.68894248432</v>
      </c>
      <c r="AD704" s="198">
        <f t="shared" si="679"/>
        <v>139712.30616604644</v>
      </c>
      <c r="AE704" s="198">
        <f t="shared" si="679"/>
        <v>143205.11382019761</v>
      </c>
      <c r="AF704" s="198">
        <f t="shared" si="679"/>
        <v>146785.24166570255</v>
      </c>
      <c r="AG704" s="198">
        <f t="shared" si="679"/>
        <v>150454.87270734512</v>
      </c>
      <c r="AH704" s="198">
        <f t="shared" si="679"/>
        <v>154216.24452502874</v>
      </c>
      <c r="AI704" s="198">
        <f t="shared" si="679"/>
        <v>158071.65063815448</v>
      </c>
      <c r="AJ704" s="198">
        <f t="shared" si="679"/>
        <v>162023.44190410833</v>
      </c>
      <c r="AK704" s="198">
        <f t="shared" si="679"/>
        <v>162023.44190410833</v>
      </c>
      <c r="AL704" s="198">
        <f t="shared" si="679"/>
        <v>162023.44190410833</v>
      </c>
      <c r="AM704" s="198">
        <f t="shared" si="679"/>
        <v>162023.44190410833</v>
      </c>
    </row>
    <row r="705" spans="1:39">
      <c r="A705" s="100"/>
      <c r="B705" s="100"/>
      <c r="C705" s="100"/>
      <c r="D705" s="179"/>
      <c r="E705" s="165"/>
      <c r="F705" s="165"/>
      <c r="G705" s="205"/>
      <c r="H705" s="121"/>
      <c r="I705" s="165"/>
      <c r="J705" s="165"/>
      <c r="K705" s="204"/>
      <c r="L705" s="197"/>
      <c r="M705" s="477"/>
      <c r="N705" s="164"/>
      <c r="O705" s="164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  <c r="AA705" s="165"/>
      <c r="AB705" s="165"/>
      <c r="AC705" s="165"/>
      <c r="AD705" s="165"/>
      <c r="AE705" s="165"/>
      <c r="AF705" s="165"/>
      <c r="AG705" s="165"/>
      <c r="AH705" s="165"/>
      <c r="AI705" s="165"/>
      <c r="AJ705" s="165"/>
      <c r="AK705" s="165"/>
      <c r="AL705" s="165"/>
      <c r="AM705" s="165"/>
    </row>
    <row r="706" spans="1:39">
      <c r="A706" s="100"/>
      <c r="B706" s="100"/>
      <c r="C706" s="100"/>
      <c r="D706" s="179"/>
      <c r="E706" s="165"/>
      <c r="F706" s="165"/>
      <c r="G706" s="206" t="s">
        <v>36</v>
      </c>
      <c r="H706" s="121"/>
      <c r="I706" s="165"/>
      <c r="J706" s="165"/>
      <c r="K706" s="204"/>
      <c r="L706" s="197"/>
      <c r="M706" s="477"/>
      <c r="N706" s="164"/>
      <c r="O706" s="164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  <c r="AA706" s="165"/>
      <c r="AB706" s="165"/>
      <c r="AC706" s="165"/>
      <c r="AD706" s="165"/>
      <c r="AE706" s="165"/>
      <c r="AF706" s="165"/>
      <c r="AG706" s="165"/>
      <c r="AH706" s="165"/>
      <c r="AI706" s="165"/>
      <c r="AJ706" s="165"/>
      <c r="AK706" s="165"/>
      <c r="AL706" s="165"/>
      <c r="AM706" s="165"/>
    </row>
    <row r="707" spans="1:39">
      <c r="A707" s="100"/>
      <c r="B707" s="100"/>
      <c r="C707" s="100"/>
      <c r="D707" s="179"/>
      <c r="E707" s="165"/>
      <c r="F707" s="165"/>
      <c r="G707" s="205"/>
      <c r="H707" s="121"/>
      <c r="I707" s="165"/>
      <c r="J707" s="165"/>
      <c r="K707" s="204"/>
      <c r="L707" s="197"/>
      <c r="M707" s="477"/>
      <c r="N707" s="164"/>
      <c r="O707" s="164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/>
      <c r="AG707" s="165"/>
      <c r="AH707" s="165"/>
      <c r="AI707" s="165"/>
      <c r="AJ707" s="165"/>
      <c r="AK707" s="165"/>
      <c r="AL707" s="165"/>
      <c r="AM707" s="165"/>
    </row>
    <row r="708" spans="1:39">
      <c r="A708" s="100"/>
      <c r="B708" s="100"/>
      <c r="C708" s="100"/>
      <c r="D708" s="179" t="str">
        <f t="shared" ref="D708:D713" si="680">$G$518</f>
        <v>Computers &amp; Furniture</v>
      </c>
      <c r="E708" s="165" t="str">
        <f>H686</f>
        <v>Terminal Domestic - Jet</v>
      </c>
      <c r="F708" s="165"/>
      <c r="G708" s="165" t="s">
        <v>80</v>
      </c>
      <c r="H708" s="121"/>
      <c r="I708" s="165"/>
      <c r="J708" s="165"/>
      <c r="K708" s="530">
        <f>K713</f>
        <v>0</v>
      </c>
      <c r="L708" s="530">
        <f>L713</f>
        <v>0</v>
      </c>
      <c r="M708" s="531"/>
      <c r="N708" s="164"/>
      <c r="O708" s="164">
        <f t="shared" ref="O708:Y708" si="681">N713</f>
        <v>535155.67343262036</v>
      </c>
      <c r="P708" s="164">
        <f t="shared" si="681"/>
        <v>525870.6482091659</v>
      </c>
      <c r="Q708" s="164">
        <f t="shared" si="681"/>
        <v>473326.07682455814</v>
      </c>
      <c r="R708" s="164">
        <f t="shared" si="681"/>
        <v>424819.09601225035</v>
      </c>
      <c r="S708" s="164">
        <f t="shared" si="681"/>
        <v>286757.13261314807</v>
      </c>
      <c r="T708" s="164">
        <f t="shared" si="681"/>
        <v>224085.25182143447</v>
      </c>
      <c r="U708" s="164">
        <f t="shared" si="681"/>
        <v>145128.12392562587</v>
      </c>
      <c r="V708" s="164">
        <f t="shared" si="681"/>
        <v>92856.954113929736</v>
      </c>
      <c r="W708" s="164">
        <f t="shared" si="681"/>
        <v>61461.635999926992</v>
      </c>
      <c r="X708" s="164">
        <f t="shared" si="681"/>
        <v>43173.512684479487</v>
      </c>
      <c r="Y708" s="164">
        <f t="shared" si="681"/>
        <v>32301.427196545694</v>
      </c>
      <c r="Z708" s="164">
        <f t="shared" ref="Z708:AM708" si="682">Y713</f>
        <v>22289.432539787427</v>
      </c>
      <c r="AA708" s="164">
        <f t="shared" si="682"/>
        <v>13327.439134948178</v>
      </c>
      <c r="AB708" s="164">
        <f t="shared" si="682"/>
        <v>6308.5368074866865</v>
      </c>
      <c r="AC708" s="164">
        <f t="shared" si="682"/>
        <v>2.8194335754960775E-11</v>
      </c>
      <c r="AD708" s="164">
        <f t="shared" si="682"/>
        <v>2.8194335754960775E-11</v>
      </c>
      <c r="AE708" s="164">
        <f t="shared" si="682"/>
        <v>2.8194335754960775E-11</v>
      </c>
      <c r="AF708" s="164">
        <f t="shared" si="682"/>
        <v>2.8194335754960775E-11</v>
      </c>
      <c r="AG708" s="164">
        <f t="shared" si="682"/>
        <v>2.8194335754960775E-11</v>
      </c>
      <c r="AH708" s="164">
        <f t="shared" si="682"/>
        <v>2.8194335754960775E-11</v>
      </c>
      <c r="AI708" s="164">
        <f t="shared" si="682"/>
        <v>2.8194335754960775E-11</v>
      </c>
      <c r="AJ708" s="164">
        <f t="shared" si="682"/>
        <v>2.8194335754960775E-11</v>
      </c>
      <c r="AK708" s="164">
        <f t="shared" si="682"/>
        <v>2.8194335754960775E-11</v>
      </c>
      <c r="AL708" s="164">
        <f t="shared" si="682"/>
        <v>2.8194335754960775E-11</v>
      </c>
      <c r="AM708" s="164">
        <f t="shared" si="682"/>
        <v>2.8194335754960775E-11</v>
      </c>
    </row>
    <row r="709" spans="1:39">
      <c r="A709" s="100"/>
      <c r="B709" s="100"/>
      <c r="C709" s="100"/>
      <c r="D709" s="179" t="str">
        <f t="shared" si="680"/>
        <v>Computers &amp; Furniture</v>
      </c>
      <c r="E709" s="165" t="str">
        <f>H686</f>
        <v>Terminal Domestic - Jet</v>
      </c>
      <c r="F709" s="165"/>
      <c r="G709" s="165" t="s">
        <v>83</v>
      </c>
      <c r="H709" s="121"/>
      <c r="I709" s="165"/>
      <c r="J709" s="165"/>
      <c r="K709" s="532"/>
      <c r="L709" s="532"/>
      <c r="M709" s="533"/>
      <c r="N709" s="164"/>
      <c r="O709" s="164">
        <f t="shared" ref="O709:X709" si="683">SUMIFS(O$45:O$62,$J$45:$J$62,$G706,$K$45:$K$62,$G709)</f>
        <v>124404.99700643377</v>
      </c>
      <c r="P709" s="164">
        <f t="shared" si="683"/>
        <v>104286.57518423007</v>
      </c>
      <c r="Q709" s="164">
        <f t="shared" si="683"/>
        <v>138292.31529073915</v>
      </c>
      <c r="R709" s="164">
        <f t="shared" si="683"/>
        <v>63562.379231976542</v>
      </c>
      <c r="S709" s="164">
        <f t="shared" si="683"/>
        <v>152594.3364066561</v>
      </c>
      <c r="T709" s="164">
        <f t="shared" si="683"/>
        <v>0</v>
      </c>
      <c r="U709" s="164">
        <f t="shared" si="683"/>
        <v>0</v>
      </c>
      <c r="V709" s="164">
        <f t="shared" si="683"/>
        <v>0</v>
      </c>
      <c r="W709" s="164">
        <f t="shared" si="683"/>
        <v>0</v>
      </c>
      <c r="X709" s="164">
        <f t="shared" si="683"/>
        <v>0</v>
      </c>
      <c r="Y709" s="164">
        <f>SUMIFS(Y$45:Y$62,$J$45:$J$62,$G706,$K$45:$K$62,$G709)</f>
        <v>0</v>
      </c>
      <c r="Z709" s="164">
        <f t="shared" ref="Z709:AM709" si="684">SUMIFS(Z$45:Z$62,$J$45:$J$62,$G706,$K$45:$K$62,$G709)</f>
        <v>0</v>
      </c>
      <c r="AA709" s="164">
        <f t="shared" si="684"/>
        <v>0</v>
      </c>
      <c r="AB709" s="164">
        <f t="shared" si="684"/>
        <v>0</v>
      </c>
      <c r="AC709" s="164">
        <f t="shared" si="684"/>
        <v>0</v>
      </c>
      <c r="AD709" s="164">
        <f t="shared" si="684"/>
        <v>0</v>
      </c>
      <c r="AE709" s="164">
        <f t="shared" si="684"/>
        <v>0</v>
      </c>
      <c r="AF709" s="164">
        <f t="shared" si="684"/>
        <v>0</v>
      </c>
      <c r="AG709" s="164">
        <f t="shared" si="684"/>
        <v>0</v>
      </c>
      <c r="AH709" s="164">
        <f t="shared" si="684"/>
        <v>0</v>
      </c>
      <c r="AI709" s="164">
        <f t="shared" si="684"/>
        <v>0</v>
      </c>
      <c r="AJ709" s="164">
        <f t="shared" si="684"/>
        <v>0</v>
      </c>
      <c r="AK709" s="164">
        <f t="shared" si="684"/>
        <v>0</v>
      </c>
      <c r="AL709" s="164">
        <f t="shared" si="684"/>
        <v>0</v>
      </c>
      <c r="AM709" s="164">
        <f t="shared" si="684"/>
        <v>0</v>
      </c>
    </row>
    <row r="710" spans="1:39">
      <c r="A710" s="100"/>
      <c r="B710" s="100"/>
      <c r="C710" s="100"/>
      <c r="D710" s="179" t="str">
        <f t="shared" si="680"/>
        <v>Computers &amp; Furniture</v>
      </c>
      <c r="E710" s="165" t="str">
        <f>H686</f>
        <v>Terminal Domestic - Jet</v>
      </c>
      <c r="F710" s="165"/>
      <c r="G710" s="165" t="s">
        <v>78</v>
      </c>
      <c r="H710" s="121"/>
      <c r="I710" s="165"/>
      <c r="J710" s="165"/>
      <c r="K710" s="197"/>
      <c r="L710" s="197"/>
      <c r="M710" s="477"/>
      <c r="N710" s="164"/>
      <c r="O710" s="164">
        <f t="shared" ref="O710:X710" si="685">O327+SUMIFS(O$45:O$62,$J$45:$J$62,$G706,$K$45:$K$62,$G710)</f>
        <v>133690.02222988824</v>
      </c>
      <c r="P710" s="164">
        <f t="shared" si="685"/>
        <v>156831.14656883787</v>
      </c>
      <c r="Q710" s="164">
        <f t="shared" si="685"/>
        <v>186799.29610304692</v>
      </c>
      <c r="R710" s="164">
        <f t="shared" si="685"/>
        <v>201624.34263107879</v>
      </c>
      <c r="S710" s="164">
        <f t="shared" si="685"/>
        <v>215266.21719836968</v>
      </c>
      <c r="T710" s="164">
        <f t="shared" si="685"/>
        <v>78957.12789580859</v>
      </c>
      <c r="U710" s="164">
        <f t="shared" si="685"/>
        <v>52271.169811696142</v>
      </c>
      <c r="V710" s="164">
        <f t="shared" si="685"/>
        <v>31395.318114002745</v>
      </c>
      <c r="W710" s="164">
        <f t="shared" si="685"/>
        <v>18288.123315447501</v>
      </c>
      <c r="X710" s="164">
        <f t="shared" si="685"/>
        <v>10872.085487933791</v>
      </c>
      <c r="Y710" s="164">
        <f>Y327+SUMIFS(Y$45:Y$62,$J$45:$J$62,$G706,$K$45:$K$62,$G710)</f>
        <v>10011.994656758267</v>
      </c>
      <c r="Z710" s="164">
        <f t="shared" ref="Z710:AM710" si="686">Z327+SUMIFS(Z$45:Z$62,$J$45:$J$62,$G706,$K$45:$K$62,$G710)</f>
        <v>8961.9934048392497</v>
      </c>
      <c r="AA710" s="164">
        <f t="shared" si="686"/>
        <v>7018.902327461491</v>
      </c>
      <c r="AB710" s="164">
        <f t="shared" si="686"/>
        <v>6308.5368074866583</v>
      </c>
      <c r="AC710" s="164">
        <f t="shared" si="686"/>
        <v>0</v>
      </c>
      <c r="AD710" s="164">
        <f t="shared" si="686"/>
        <v>0</v>
      </c>
      <c r="AE710" s="164">
        <f t="shared" si="686"/>
        <v>0</v>
      </c>
      <c r="AF710" s="164">
        <f t="shared" si="686"/>
        <v>0</v>
      </c>
      <c r="AG710" s="164">
        <f t="shared" si="686"/>
        <v>0</v>
      </c>
      <c r="AH710" s="164">
        <f t="shared" si="686"/>
        <v>0</v>
      </c>
      <c r="AI710" s="164">
        <f t="shared" si="686"/>
        <v>0</v>
      </c>
      <c r="AJ710" s="164">
        <f t="shared" si="686"/>
        <v>0</v>
      </c>
      <c r="AK710" s="164">
        <f t="shared" si="686"/>
        <v>0</v>
      </c>
      <c r="AL710" s="164">
        <f t="shared" si="686"/>
        <v>0</v>
      </c>
      <c r="AM710" s="164">
        <f t="shared" si="686"/>
        <v>0</v>
      </c>
    </row>
    <row r="711" spans="1:39">
      <c r="A711" s="100"/>
      <c r="B711" s="100"/>
      <c r="C711" s="100"/>
      <c r="D711" s="179" t="str">
        <f t="shared" si="680"/>
        <v>Computers &amp; Furniture</v>
      </c>
      <c r="E711" s="165" t="str">
        <f>H686</f>
        <v>Terminal Domestic - Jet</v>
      </c>
      <c r="F711" s="165"/>
      <c r="G711" s="165" t="s">
        <v>88</v>
      </c>
      <c r="H711" s="121"/>
      <c r="I711" s="165"/>
      <c r="J711" s="165"/>
      <c r="K711" s="197"/>
      <c r="L711" s="197"/>
      <c r="M711" s="477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/>
      <c r="AG711" s="230"/>
      <c r="AH711" s="230"/>
      <c r="AI711" s="230"/>
      <c r="AJ711" s="230"/>
      <c r="AK711" s="230"/>
      <c r="AL711" s="230"/>
      <c r="AM711" s="230"/>
    </row>
    <row r="712" spans="1:39">
      <c r="A712" s="100"/>
      <c r="B712" s="100"/>
      <c r="C712" s="100"/>
      <c r="D712" s="179" t="str">
        <f t="shared" si="680"/>
        <v>Computers &amp; Furniture</v>
      </c>
      <c r="E712" s="165" t="str">
        <f>H686</f>
        <v>Terminal Domestic - Jet</v>
      </c>
      <c r="F712" s="165"/>
      <c r="G712" s="165" t="s">
        <v>87</v>
      </c>
      <c r="H712" s="121"/>
      <c r="I712" s="165"/>
      <c r="J712" s="165"/>
      <c r="K712" s="197"/>
      <c r="L712" s="197"/>
      <c r="M712" s="477"/>
      <c r="N712" s="164"/>
      <c r="O712" s="164">
        <f t="shared" ref="O712:X712" si="687">IF(N708&gt;0,N710/AVERAGE(N708,N713)*O711,0)</f>
        <v>0</v>
      </c>
      <c r="P712" s="164">
        <f t="shared" si="687"/>
        <v>0</v>
      </c>
      <c r="Q712" s="164">
        <f t="shared" si="687"/>
        <v>0</v>
      </c>
      <c r="R712" s="164">
        <f t="shared" si="687"/>
        <v>0</v>
      </c>
      <c r="S712" s="164">
        <f t="shared" si="687"/>
        <v>0</v>
      </c>
      <c r="T712" s="164">
        <f t="shared" si="687"/>
        <v>0</v>
      </c>
      <c r="U712" s="164">
        <f t="shared" si="687"/>
        <v>0</v>
      </c>
      <c r="V712" s="164">
        <f t="shared" si="687"/>
        <v>0</v>
      </c>
      <c r="W712" s="164">
        <f t="shared" si="687"/>
        <v>0</v>
      </c>
      <c r="X712" s="164">
        <f t="shared" si="687"/>
        <v>0</v>
      </c>
      <c r="Y712" s="164">
        <f t="shared" ref="Y712:AM712" si="688">IF(X708&gt;0,X710/AVERAGE(X708,X713)*Y711,0)</f>
        <v>0</v>
      </c>
      <c r="Z712" s="164">
        <f t="shared" si="688"/>
        <v>0</v>
      </c>
      <c r="AA712" s="164">
        <f t="shared" si="688"/>
        <v>0</v>
      </c>
      <c r="AB712" s="164">
        <f t="shared" si="688"/>
        <v>0</v>
      </c>
      <c r="AC712" s="164">
        <f t="shared" si="688"/>
        <v>0</v>
      </c>
      <c r="AD712" s="164">
        <f t="shared" si="688"/>
        <v>0</v>
      </c>
      <c r="AE712" s="164">
        <f t="shared" si="688"/>
        <v>0</v>
      </c>
      <c r="AF712" s="164">
        <f t="shared" si="688"/>
        <v>0</v>
      </c>
      <c r="AG712" s="164">
        <f t="shared" si="688"/>
        <v>0</v>
      </c>
      <c r="AH712" s="164">
        <f t="shared" si="688"/>
        <v>0</v>
      </c>
      <c r="AI712" s="164">
        <f t="shared" si="688"/>
        <v>0</v>
      </c>
      <c r="AJ712" s="164">
        <f t="shared" si="688"/>
        <v>0</v>
      </c>
      <c r="AK712" s="164">
        <f t="shared" si="688"/>
        <v>0</v>
      </c>
      <c r="AL712" s="164">
        <f t="shared" si="688"/>
        <v>0</v>
      </c>
      <c r="AM712" s="164">
        <f t="shared" si="688"/>
        <v>0</v>
      </c>
    </row>
    <row r="713" spans="1:39">
      <c r="A713" s="100"/>
      <c r="B713" s="100"/>
      <c r="C713" s="100"/>
      <c r="D713" s="179" t="str">
        <f t="shared" si="680"/>
        <v>Computers &amp; Furniture</v>
      </c>
      <c r="E713" s="165" t="str">
        <f>H686</f>
        <v>Terminal Domestic - Jet</v>
      </c>
      <c r="F713" s="165"/>
      <c r="G713" s="200" t="s">
        <v>76</v>
      </c>
      <c r="H713" s="201"/>
      <c r="I713" s="200"/>
      <c r="J713" s="200"/>
      <c r="K713" s="199">
        <f>K329</f>
        <v>0</v>
      </c>
      <c r="L713" s="199">
        <f>L329</f>
        <v>0</v>
      </c>
      <c r="M713" s="527">
        <f>M329</f>
        <v>0</v>
      </c>
      <c r="N713" s="198">
        <f>N329</f>
        <v>535155.67343262036</v>
      </c>
      <c r="O713" s="198">
        <f t="shared" ref="O713:AM713" si="689">SUM(O708:O709,O711)-SUM(O710,O712)</f>
        <v>525870.6482091659</v>
      </c>
      <c r="P713" s="198">
        <f t="shared" si="689"/>
        <v>473326.07682455814</v>
      </c>
      <c r="Q713" s="198">
        <f t="shared" si="689"/>
        <v>424819.09601225035</v>
      </c>
      <c r="R713" s="198">
        <f t="shared" si="689"/>
        <v>286757.13261314807</v>
      </c>
      <c r="S713" s="198">
        <f t="shared" si="689"/>
        <v>224085.25182143447</v>
      </c>
      <c r="T713" s="198">
        <f t="shared" si="689"/>
        <v>145128.12392562587</v>
      </c>
      <c r="U713" s="198">
        <f t="shared" si="689"/>
        <v>92856.954113929736</v>
      </c>
      <c r="V713" s="198">
        <f t="shared" si="689"/>
        <v>61461.635999926992</v>
      </c>
      <c r="W713" s="198">
        <f t="shared" si="689"/>
        <v>43173.512684479487</v>
      </c>
      <c r="X713" s="198">
        <f t="shared" si="689"/>
        <v>32301.427196545694</v>
      </c>
      <c r="Y713" s="198">
        <f t="shared" si="689"/>
        <v>22289.432539787427</v>
      </c>
      <c r="Z713" s="198">
        <f t="shared" si="689"/>
        <v>13327.439134948178</v>
      </c>
      <c r="AA713" s="198">
        <f t="shared" si="689"/>
        <v>6308.5368074866865</v>
      </c>
      <c r="AB713" s="198">
        <f t="shared" si="689"/>
        <v>2.8194335754960775E-11</v>
      </c>
      <c r="AC713" s="198">
        <f t="shared" si="689"/>
        <v>2.8194335754960775E-11</v>
      </c>
      <c r="AD713" s="198">
        <f t="shared" si="689"/>
        <v>2.8194335754960775E-11</v>
      </c>
      <c r="AE713" s="198">
        <f t="shared" si="689"/>
        <v>2.8194335754960775E-11</v>
      </c>
      <c r="AF713" s="198">
        <f t="shared" si="689"/>
        <v>2.8194335754960775E-11</v>
      </c>
      <c r="AG713" s="198">
        <f t="shared" si="689"/>
        <v>2.8194335754960775E-11</v>
      </c>
      <c r="AH713" s="198">
        <f t="shared" si="689"/>
        <v>2.8194335754960775E-11</v>
      </c>
      <c r="AI713" s="198">
        <f t="shared" si="689"/>
        <v>2.8194335754960775E-11</v>
      </c>
      <c r="AJ713" s="198">
        <f t="shared" si="689"/>
        <v>2.8194335754960775E-11</v>
      </c>
      <c r="AK713" s="198">
        <f t="shared" si="689"/>
        <v>2.8194335754960775E-11</v>
      </c>
      <c r="AL713" s="198">
        <f t="shared" si="689"/>
        <v>2.8194335754960775E-11</v>
      </c>
      <c r="AM713" s="198">
        <f t="shared" si="689"/>
        <v>2.8194335754960775E-11</v>
      </c>
    </row>
    <row r="714" spans="1:39">
      <c r="A714" s="100"/>
      <c r="B714" s="100"/>
      <c r="C714" s="100"/>
      <c r="D714" s="179"/>
      <c r="E714" s="165"/>
      <c r="F714" s="165"/>
      <c r="G714" s="205"/>
      <c r="H714" s="121"/>
      <c r="I714" s="165"/>
      <c r="J714" s="165"/>
      <c r="K714" s="204"/>
      <c r="L714" s="197"/>
      <c r="M714" s="477"/>
      <c r="N714" s="164"/>
      <c r="O714" s="164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  <c r="AA714" s="165"/>
      <c r="AB714" s="165"/>
      <c r="AC714" s="165"/>
      <c r="AD714" s="165"/>
      <c r="AE714" s="165"/>
      <c r="AF714" s="165"/>
      <c r="AG714" s="165"/>
      <c r="AH714" s="165"/>
      <c r="AI714" s="165"/>
      <c r="AJ714" s="165"/>
      <c r="AK714" s="165"/>
      <c r="AL714" s="165"/>
      <c r="AM714" s="165"/>
    </row>
    <row r="715" spans="1:39">
      <c r="A715" s="100"/>
      <c r="B715" s="100"/>
      <c r="C715" s="100"/>
      <c r="D715" s="179"/>
      <c r="E715" s="165"/>
      <c r="F715" s="165"/>
      <c r="G715" s="206" t="s">
        <v>35</v>
      </c>
      <c r="H715" s="121"/>
      <c r="I715" s="165"/>
      <c r="J715" s="165"/>
      <c r="K715" s="204"/>
      <c r="L715" s="197"/>
      <c r="M715" s="477"/>
      <c r="N715" s="164"/>
      <c r="O715" s="164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  <c r="AA715" s="165"/>
      <c r="AB715" s="165"/>
      <c r="AC715" s="165"/>
      <c r="AD715" s="165"/>
      <c r="AE715" s="165"/>
      <c r="AF715" s="165"/>
      <c r="AG715" s="165"/>
      <c r="AH715" s="165"/>
      <c r="AI715" s="165"/>
      <c r="AJ715" s="165"/>
      <c r="AK715" s="165"/>
      <c r="AL715" s="165"/>
      <c r="AM715" s="165"/>
    </row>
    <row r="716" spans="1:39">
      <c r="A716" s="100"/>
      <c r="B716" s="100"/>
      <c r="C716" s="100"/>
      <c r="D716" s="179"/>
      <c r="E716" s="165"/>
      <c r="F716" s="165"/>
      <c r="G716" s="205"/>
      <c r="H716" s="121"/>
      <c r="I716" s="165"/>
      <c r="J716" s="165"/>
      <c r="K716" s="204"/>
      <c r="L716" s="197"/>
      <c r="M716" s="477"/>
      <c r="N716" s="164"/>
      <c r="O716" s="164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  <c r="AA716" s="165"/>
      <c r="AB716" s="165"/>
      <c r="AC716" s="165"/>
      <c r="AD716" s="165"/>
      <c r="AE716" s="165"/>
      <c r="AF716" s="165"/>
      <c r="AG716" s="165"/>
      <c r="AH716" s="165"/>
      <c r="AI716" s="165"/>
      <c r="AJ716" s="165"/>
      <c r="AK716" s="165"/>
      <c r="AL716" s="165"/>
      <c r="AM716" s="165"/>
    </row>
    <row r="717" spans="1:39">
      <c r="A717" s="100"/>
      <c r="B717" s="100"/>
      <c r="C717" s="100"/>
      <c r="D717" s="179" t="str">
        <f t="shared" ref="D717:D722" si="690">$G$527</f>
        <v>Motor vehicles</v>
      </c>
      <c r="E717" s="165" t="str">
        <f>H686</f>
        <v>Terminal Domestic - Jet</v>
      </c>
      <c r="F717" s="165"/>
      <c r="G717" s="165" t="s">
        <v>80</v>
      </c>
      <c r="H717" s="121"/>
      <c r="I717" s="165"/>
      <c r="J717" s="165"/>
      <c r="K717" s="530">
        <f>K722</f>
        <v>0</v>
      </c>
      <c r="L717" s="530">
        <f>L722</f>
        <v>0</v>
      </c>
      <c r="M717" s="531"/>
      <c r="N717" s="164"/>
      <c r="O717" s="164">
        <f t="shared" ref="O717:Y717" si="691">N722</f>
        <v>0</v>
      </c>
      <c r="P717" s="164">
        <f t="shared" si="691"/>
        <v>0</v>
      </c>
      <c r="Q717" s="164">
        <f t="shared" si="691"/>
        <v>0</v>
      </c>
      <c r="R717" s="164">
        <f t="shared" si="691"/>
        <v>0</v>
      </c>
      <c r="S717" s="164">
        <f t="shared" si="691"/>
        <v>0</v>
      </c>
      <c r="T717" s="164">
        <f t="shared" si="691"/>
        <v>0</v>
      </c>
      <c r="U717" s="164">
        <f t="shared" si="691"/>
        <v>0</v>
      </c>
      <c r="V717" s="164">
        <f t="shared" si="691"/>
        <v>0</v>
      </c>
      <c r="W717" s="164">
        <f t="shared" si="691"/>
        <v>0</v>
      </c>
      <c r="X717" s="164">
        <f t="shared" si="691"/>
        <v>0</v>
      </c>
      <c r="Y717" s="164">
        <f t="shared" si="691"/>
        <v>0</v>
      </c>
      <c r="Z717" s="164">
        <f t="shared" ref="Z717:AM717" si="692">Y722</f>
        <v>0</v>
      </c>
      <c r="AA717" s="164">
        <f t="shared" si="692"/>
        <v>0</v>
      </c>
      <c r="AB717" s="164">
        <f t="shared" si="692"/>
        <v>0</v>
      </c>
      <c r="AC717" s="164">
        <f t="shared" si="692"/>
        <v>0</v>
      </c>
      <c r="AD717" s="164">
        <f t="shared" si="692"/>
        <v>0</v>
      </c>
      <c r="AE717" s="164">
        <f t="shared" si="692"/>
        <v>0</v>
      </c>
      <c r="AF717" s="164">
        <f t="shared" si="692"/>
        <v>0</v>
      </c>
      <c r="AG717" s="164">
        <f t="shared" si="692"/>
        <v>0</v>
      </c>
      <c r="AH717" s="164">
        <f t="shared" si="692"/>
        <v>0</v>
      </c>
      <c r="AI717" s="164">
        <f t="shared" si="692"/>
        <v>0</v>
      </c>
      <c r="AJ717" s="164">
        <f t="shared" si="692"/>
        <v>0</v>
      </c>
      <c r="AK717" s="164">
        <f t="shared" si="692"/>
        <v>0</v>
      </c>
      <c r="AL717" s="164">
        <f t="shared" si="692"/>
        <v>0</v>
      </c>
      <c r="AM717" s="164">
        <f t="shared" si="692"/>
        <v>0</v>
      </c>
    </row>
    <row r="718" spans="1:39">
      <c r="A718" s="100"/>
      <c r="B718" s="100"/>
      <c r="C718" s="100"/>
      <c r="D718" s="179" t="str">
        <f t="shared" si="690"/>
        <v>Motor vehicles</v>
      </c>
      <c r="E718" s="165" t="str">
        <f>H686</f>
        <v>Terminal Domestic - Jet</v>
      </c>
      <c r="F718" s="165"/>
      <c r="G718" s="165" t="s">
        <v>83</v>
      </c>
      <c r="H718" s="121"/>
      <c r="I718" s="165"/>
      <c r="J718" s="165"/>
      <c r="K718" s="532"/>
      <c r="L718" s="532"/>
      <c r="M718" s="533"/>
      <c r="N718" s="164"/>
      <c r="O718" s="164">
        <f t="shared" ref="O718:X718" si="693">SUMIFS(O$45:O$62,$J$45:$J$62,$G715,$K$45:$K$62,$G718)</f>
        <v>0</v>
      </c>
      <c r="P718" s="164">
        <f t="shared" si="693"/>
        <v>0</v>
      </c>
      <c r="Q718" s="164">
        <f t="shared" si="693"/>
        <v>0</v>
      </c>
      <c r="R718" s="164">
        <f t="shared" si="693"/>
        <v>0</v>
      </c>
      <c r="S718" s="164">
        <f t="shared" si="693"/>
        <v>0</v>
      </c>
      <c r="T718" s="164">
        <f t="shared" si="693"/>
        <v>0</v>
      </c>
      <c r="U718" s="164">
        <f t="shared" si="693"/>
        <v>0</v>
      </c>
      <c r="V718" s="164">
        <f t="shared" si="693"/>
        <v>0</v>
      </c>
      <c r="W718" s="164">
        <f t="shared" si="693"/>
        <v>0</v>
      </c>
      <c r="X718" s="164">
        <f t="shared" si="693"/>
        <v>0</v>
      </c>
      <c r="Y718" s="164">
        <f>SUMIFS(Y$45:Y$62,$J$45:$J$62,$G715,$K$45:$K$62,$G718)</f>
        <v>0</v>
      </c>
      <c r="Z718" s="164">
        <f t="shared" ref="Z718:AM718" si="694">SUMIFS(Z$45:Z$62,$J$45:$J$62,$G715,$K$45:$K$62,$G718)</f>
        <v>0</v>
      </c>
      <c r="AA718" s="164">
        <f t="shared" si="694"/>
        <v>0</v>
      </c>
      <c r="AB718" s="164">
        <f t="shared" si="694"/>
        <v>0</v>
      </c>
      <c r="AC718" s="164">
        <f t="shared" si="694"/>
        <v>0</v>
      </c>
      <c r="AD718" s="164">
        <f t="shared" si="694"/>
        <v>0</v>
      </c>
      <c r="AE718" s="164">
        <f t="shared" si="694"/>
        <v>0</v>
      </c>
      <c r="AF718" s="164">
        <f t="shared" si="694"/>
        <v>0</v>
      </c>
      <c r="AG718" s="164">
        <f t="shared" si="694"/>
        <v>0</v>
      </c>
      <c r="AH718" s="164">
        <f t="shared" si="694"/>
        <v>0</v>
      </c>
      <c r="AI718" s="164">
        <f t="shared" si="694"/>
        <v>0</v>
      </c>
      <c r="AJ718" s="164">
        <f t="shared" si="694"/>
        <v>0</v>
      </c>
      <c r="AK718" s="164">
        <f t="shared" si="694"/>
        <v>0</v>
      </c>
      <c r="AL718" s="164">
        <f t="shared" si="694"/>
        <v>0</v>
      </c>
      <c r="AM718" s="164">
        <f t="shared" si="694"/>
        <v>0</v>
      </c>
    </row>
    <row r="719" spans="1:39">
      <c r="A719" s="100"/>
      <c r="B719" s="100"/>
      <c r="C719" s="100"/>
      <c r="D719" s="179" t="str">
        <f t="shared" si="690"/>
        <v>Motor vehicles</v>
      </c>
      <c r="E719" s="165" t="str">
        <f>H686</f>
        <v>Terminal Domestic - Jet</v>
      </c>
      <c r="F719" s="165"/>
      <c r="G719" s="165" t="s">
        <v>78</v>
      </c>
      <c r="H719" s="121"/>
      <c r="I719" s="165"/>
      <c r="J719" s="165"/>
      <c r="K719" s="197"/>
      <c r="L719" s="197"/>
      <c r="M719" s="477"/>
      <c r="N719" s="164"/>
      <c r="O719" s="164">
        <f t="shared" ref="O719:X719" si="695">O336+SUMIFS(O$45:O$62,$J$45:$J$62,$G715,$K$45:$K$62,$G719)</f>
        <v>0</v>
      </c>
      <c r="P719" s="164">
        <f t="shared" si="695"/>
        <v>0</v>
      </c>
      <c r="Q719" s="164">
        <f t="shared" si="695"/>
        <v>0</v>
      </c>
      <c r="R719" s="164">
        <f t="shared" si="695"/>
        <v>0</v>
      </c>
      <c r="S719" s="164">
        <f t="shared" si="695"/>
        <v>0</v>
      </c>
      <c r="T719" s="164">
        <f t="shared" si="695"/>
        <v>0</v>
      </c>
      <c r="U719" s="164">
        <f t="shared" si="695"/>
        <v>0</v>
      </c>
      <c r="V719" s="164">
        <f t="shared" si="695"/>
        <v>0</v>
      </c>
      <c r="W719" s="164">
        <f t="shared" si="695"/>
        <v>0</v>
      </c>
      <c r="X719" s="164">
        <f t="shared" si="695"/>
        <v>0</v>
      </c>
      <c r="Y719" s="164">
        <f>Y336+SUMIFS(Y$45:Y$62,$J$45:$J$62,$G715,$K$45:$K$62,$G719)</f>
        <v>0</v>
      </c>
      <c r="Z719" s="164">
        <f t="shared" ref="Z719:AM719" si="696">Z336+SUMIFS(Z$45:Z$62,$J$45:$J$62,$G715,$K$45:$K$62,$G719)</f>
        <v>0</v>
      </c>
      <c r="AA719" s="164">
        <f t="shared" si="696"/>
        <v>0</v>
      </c>
      <c r="AB719" s="164">
        <f t="shared" si="696"/>
        <v>0</v>
      </c>
      <c r="AC719" s="164">
        <f t="shared" si="696"/>
        <v>0</v>
      </c>
      <c r="AD719" s="164">
        <f t="shared" si="696"/>
        <v>0</v>
      </c>
      <c r="AE719" s="164">
        <f t="shared" si="696"/>
        <v>0</v>
      </c>
      <c r="AF719" s="164">
        <f t="shared" si="696"/>
        <v>0</v>
      </c>
      <c r="AG719" s="164">
        <f t="shared" si="696"/>
        <v>0</v>
      </c>
      <c r="AH719" s="164">
        <f t="shared" si="696"/>
        <v>0</v>
      </c>
      <c r="AI719" s="164">
        <f t="shared" si="696"/>
        <v>0</v>
      </c>
      <c r="AJ719" s="164">
        <f t="shared" si="696"/>
        <v>0</v>
      </c>
      <c r="AK719" s="164">
        <f t="shared" si="696"/>
        <v>0</v>
      </c>
      <c r="AL719" s="164">
        <f t="shared" si="696"/>
        <v>0</v>
      </c>
      <c r="AM719" s="164">
        <f t="shared" si="696"/>
        <v>0</v>
      </c>
    </row>
    <row r="720" spans="1:39">
      <c r="A720" s="100"/>
      <c r="B720" s="100"/>
      <c r="C720" s="100"/>
      <c r="D720" s="179" t="str">
        <f t="shared" si="690"/>
        <v>Motor vehicles</v>
      </c>
      <c r="E720" s="165" t="str">
        <f>H686</f>
        <v>Terminal Domestic - Jet</v>
      </c>
      <c r="F720" s="165"/>
      <c r="G720" s="165" t="s">
        <v>88</v>
      </c>
      <c r="H720" s="121"/>
      <c r="I720" s="165"/>
      <c r="J720" s="165"/>
      <c r="K720" s="197"/>
      <c r="L720" s="197"/>
      <c r="M720" s="477"/>
      <c r="N720" s="230"/>
      <c r="O720" s="230"/>
      <c r="P720" s="230"/>
      <c r="Q720" s="230"/>
      <c r="R720" s="230"/>
      <c r="S720" s="230"/>
      <c r="T720" s="230"/>
      <c r="U720" s="230"/>
      <c r="V720" s="230"/>
      <c r="W720" s="230"/>
      <c r="X720" s="230"/>
      <c r="Y720" s="230"/>
      <c r="Z720" s="230"/>
      <c r="AA720" s="230"/>
      <c r="AB720" s="230"/>
      <c r="AC720" s="230"/>
      <c r="AD720" s="230"/>
      <c r="AE720" s="230"/>
      <c r="AF720" s="230"/>
      <c r="AG720" s="230"/>
      <c r="AH720" s="230"/>
      <c r="AI720" s="230"/>
      <c r="AJ720" s="230"/>
      <c r="AK720" s="230"/>
      <c r="AL720" s="230"/>
      <c r="AM720" s="230"/>
    </row>
    <row r="721" spans="1:39">
      <c r="A721" s="100"/>
      <c r="B721" s="100"/>
      <c r="C721" s="100"/>
      <c r="D721" s="179" t="str">
        <f t="shared" si="690"/>
        <v>Motor vehicles</v>
      </c>
      <c r="E721" s="165" t="str">
        <f>H686</f>
        <v>Terminal Domestic - Jet</v>
      </c>
      <c r="F721" s="165"/>
      <c r="G721" s="165" t="s">
        <v>87</v>
      </c>
      <c r="H721" s="121"/>
      <c r="I721" s="165"/>
      <c r="J721" s="165"/>
      <c r="K721" s="197"/>
      <c r="L721" s="197"/>
      <c r="M721" s="477"/>
      <c r="N721" s="164"/>
      <c r="O721" s="164">
        <f t="shared" ref="O721:X721" si="697">IF(N717&gt;0,N719/AVERAGE(N717,N722)*O720,0)</f>
        <v>0</v>
      </c>
      <c r="P721" s="164">
        <f t="shared" si="697"/>
        <v>0</v>
      </c>
      <c r="Q721" s="164">
        <f t="shared" si="697"/>
        <v>0</v>
      </c>
      <c r="R721" s="164">
        <f t="shared" si="697"/>
        <v>0</v>
      </c>
      <c r="S721" s="164">
        <f t="shared" si="697"/>
        <v>0</v>
      </c>
      <c r="T721" s="164">
        <f t="shared" si="697"/>
        <v>0</v>
      </c>
      <c r="U721" s="164">
        <f t="shared" si="697"/>
        <v>0</v>
      </c>
      <c r="V721" s="164">
        <f t="shared" si="697"/>
        <v>0</v>
      </c>
      <c r="W721" s="164">
        <f t="shared" si="697"/>
        <v>0</v>
      </c>
      <c r="X721" s="164">
        <f t="shared" si="697"/>
        <v>0</v>
      </c>
      <c r="Y721" s="164">
        <f t="shared" ref="Y721:AM721" si="698">IF(X717&gt;0,X719/AVERAGE(X717,X722)*Y720,0)</f>
        <v>0</v>
      </c>
      <c r="Z721" s="164">
        <f t="shared" si="698"/>
        <v>0</v>
      </c>
      <c r="AA721" s="164">
        <f t="shared" si="698"/>
        <v>0</v>
      </c>
      <c r="AB721" s="164">
        <f t="shared" si="698"/>
        <v>0</v>
      </c>
      <c r="AC721" s="164">
        <f t="shared" si="698"/>
        <v>0</v>
      </c>
      <c r="AD721" s="164">
        <f t="shared" si="698"/>
        <v>0</v>
      </c>
      <c r="AE721" s="164">
        <f t="shared" si="698"/>
        <v>0</v>
      </c>
      <c r="AF721" s="164">
        <f t="shared" si="698"/>
        <v>0</v>
      </c>
      <c r="AG721" s="164">
        <f t="shared" si="698"/>
        <v>0</v>
      </c>
      <c r="AH721" s="164">
        <f t="shared" si="698"/>
        <v>0</v>
      </c>
      <c r="AI721" s="164">
        <f t="shared" si="698"/>
        <v>0</v>
      </c>
      <c r="AJ721" s="164">
        <f t="shared" si="698"/>
        <v>0</v>
      </c>
      <c r="AK721" s="164">
        <f t="shared" si="698"/>
        <v>0</v>
      </c>
      <c r="AL721" s="164">
        <f t="shared" si="698"/>
        <v>0</v>
      </c>
      <c r="AM721" s="164">
        <f t="shared" si="698"/>
        <v>0</v>
      </c>
    </row>
    <row r="722" spans="1:39">
      <c r="A722" s="100"/>
      <c r="B722" s="100"/>
      <c r="C722" s="100"/>
      <c r="D722" s="179" t="str">
        <f t="shared" si="690"/>
        <v>Motor vehicles</v>
      </c>
      <c r="E722" s="165" t="str">
        <f>H686</f>
        <v>Terminal Domestic - Jet</v>
      </c>
      <c r="F722" s="165"/>
      <c r="G722" s="200" t="s">
        <v>76</v>
      </c>
      <c r="H722" s="201"/>
      <c r="I722" s="200"/>
      <c r="J722" s="200"/>
      <c r="K722" s="199">
        <f>K338</f>
        <v>0</v>
      </c>
      <c r="L722" s="199">
        <f>L338</f>
        <v>0</v>
      </c>
      <c r="M722" s="527">
        <f>M338</f>
        <v>0</v>
      </c>
      <c r="N722" s="198">
        <f>N338</f>
        <v>0</v>
      </c>
      <c r="O722" s="198">
        <f t="shared" ref="O722:AM722" si="699">SUM(O717:O718,O720)-SUM(O719,O721)</f>
        <v>0</v>
      </c>
      <c r="P722" s="198">
        <f t="shared" si="699"/>
        <v>0</v>
      </c>
      <c r="Q722" s="198">
        <f t="shared" si="699"/>
        <v>0</v>
      </c>
      <c r="R722" s="198">
        <f t="shared" si="699"/>
        <v>0</v>
      </c>
      <c r="S722" s="198">
        <f t="shared" si="699"/>
        <v>0</v>
      </c>
      <c r="T722" s="198">
        <f t="shared" si="699"/>
        <v>0</v>
      </c>
      <c r="U722" s="198">
        <f t="shared" si="699"/>
        <v>0</v>
      </c>
      <c r="V722" s="198">
        <f t="shared" si="699"/>
        <v>0</v>
      </c>
      <c r="W722" s="198">
        <f t="shared" si="699"/>
        <v>0</v>
      </c>
      <c r="X722" s="198">
        <f t="shared" si="699"/>
        <v>0</v>
      </c>
      <c r="Y722" s="198">
        <f t="shared" si="699"/>
        <v>0</v>
      </c>
      <c r="Z722" s="198">
        <f t="shared" si="699"/>
        <v>0</v>
      </c>
      <c r="AA722" s="198">
        <f t="shared" si="699"/>
        <v>0</v>
      </c>
      <c r="AB722" s="198">
        <f t="shared" si="699"/>
        <v>0</v>
      </c>
      <c r="AC722" s="198">
        <f t="shared" si="699"/>
        <v>0</v>
      </c>
      <c r="AD722" s="198">
        <f t="shared" si="699"/>
        <v>0</v>
      </c>
      <c r="AE722" s="198">
        <f t="shared" si="699"/>
        <v>0</v>
      </c>
      <c r="AF722" s="198">
        <f t="shared" si="699"/>
        <v>0</v>
      </c>
      <c r="AG722" s="198">
        <f t="shared" si="699"/>
        <v>0</v>
      </c>
      <c r="AH722" s="198">
        <f t="shared" si="699"/>
        <v>0</v>
      </c>
      <c r="AI722" s="198">
        <f t="shared" si="699"/>
        <v>0</v>
      </c>
      <c r="AJ722" s="198">
        <f t="shared" si="699"/>
        <v>0</v>
      </c>
      <c r="AK722" s="198">
        <f t="shared" si="699"/>
        <v>0</v>
      </c>
      <c r="AL722" s="198">
        <f t="shared" si="699"/>
        <v>0</v>
      </c>
      <c r="AM722" s="198">
        <f t="shared" si="699"/>
        <v>0</v>
      </c>
    </row>
    <row r="723" spans="1:39">
      <c r="A723" s="100"/>
      <c r="B723" s="100"/>
      <c r="C723" s="100"/>
      <c r="D723" s="179"/>
      <c r="E723" s="165"/>
      <c r="F723" s="165"/>
      <c r="G723" s="205"/>
      <c r="H723" s="121"/>
      <c r="I723" s="165"/>
      <c r="J723" s="165"/>
      <c r="K723" s="204"/>
      <c r="L723" s="197"/>
      <c r="M723" s="477"/>
      <c r="N723" s="164"/>
      <c r="O723" s="164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  <c r="AA723" s="165"/>
      <c r="AB723" s="165"/>
      <c r="AC723" s="165"/>
      <c r="AD723" s="165"/>
      <c r="AE723" s="165"/>
      <c r="AF723" s="165"/>
      <c r="AG723" s="165"/>
      <c r="AH723" s="165"/>
      <c r="AI723" s="165"/>
      <c r="AJ723" s="165"/>
      <c r="AK723" s="165"/>
      <c r="AL723" s="165"/>
      <c r="AM723" s="165"/>
    </row>
    <row r="724" spans="1:39">
      <c r="A724" s="100"/>
      <c r="B724" s="100"/>
      <c r="C724" s="100"/>
      <c r="D724" s="179"/>
      <c r="E724" s="165"/>
      <c r="F724" s="165"/>
      <c r="G724" s="206" t="s">
        <v>34</v>
      </c>
      <c r="H724" s="121"/>
      <c r="I724" s="165"/>
      <c r="J724" s="165"/>
      <c r="K724" s="204"/>
      <c r="L724" s="197"/>
      <c r="M724" s="477"/>
      <c r="N724" s="164"/>
      <c r="O724" s="164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  <c r="AA724" s="165"/>
      <c r="AB724" s="165"/>
      <c r="AC724" s="165"/>
      <c r="AD724" s="165"/>
      <c r="AE724" s="165"/>
      <c r="AF724" s="165"/>
      <c r="AG724" s="165"/>
      <c r="AH724" s="165"/>
      <c r="AI724" s="165"/>
      <c r="AJ724" s="165"/>
      <c r="AK724" s="165"/>
      <c r="AL724" s="165"/>
      <c r="AM724" s="165"/>
    </row>
    <row r="725" spans="1:39">
      <c r="A725" s="100"/>
      <c r="B725" s="100"/>
      <c r="C725" s="100"/>
      <c r="D725" s="179"/>
      <c r="E725" s="165"/>
      <c r="F725" s="165"/>
      <c r="G725" s="205"/>
      <c r="H725" s="121"/>
      <c r="I725" s="165"/>
      <c r="J725" s="165"/>
      <c r="K725" s="204"/>
      <c r="L725" s="197"/>
      <c r="M725" s="477"/>
      <c r="N725" s="164"/>
      <c r="O725" s="164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  <c r="AA725" s="165"/>
      <c r="AB725" s="165"/>
      <c r="AC725" s="165"/>
      <c r="AD725" s="165"/>
      <c r="AE725" s="165"/>
      <c r="AF725" s="165"/>
      <c r="AG725" s="165"/>
      <c r="AH725" s="165"/>
      <c r="AI725" s="165"/>
      <c r="AJ725" s="165"/>
      <c r="AK725" s="165"/>
      <c r="AL725" s="165"/>
      <c r="AM725" s="165"/>
    </row>
    <row r="726" spans="1:39">
      <c r="A726" s="100"/>
      <c r="B726" s="100"/>
      <c r="C726" s="100"/>
      <c r="D726" s="179" t="s">
        <v>34</v>
      </c>
      <c r="E726" s="165" t="str">
        <f>H686</f>
        <v>Terminal Domestic - Jet</v>
      </c>
      <c r="F726" s="165"/>
      <c r="G726" s="165" t="s">
        <v>80</v>
      </c>
      <c r="H726" s="121"/>
      <c r="I726" s="165"/>
      <c r="J726" s="165"/>
      <c r="K726" s="530">
        <f>K731</f>
        <v>0</v>
      </c>
      <c r="L726" s="530">
        <f>L731</f>
        <v>0</v>
      </c>
      <c r="M726" s="531"/>
      <c r="N726" s="164"/>
      <c r="O726" s="164">
        <f t="shared" ref="O726:Y726" si="700">N731</f>
        <v>1043010.9184474562</v>
      </c>
      <c r="P726" s="164">
        <f t="shared" si="700"/>
        <v>979429.14635170926</v>
      </c>
      <c r="Q726" s="164">
        <f t="shared" si="700"/>
        <v>913037.27943053562</v>
      </c>
      <c r="R726" s="164">
        <f t="shared" si="700"/>
        <v>840035.43528023048</v>
      </c>
      <c r="S726" s="164">
        <f t="shared" si="700"/>
        <v>762121.93095366866</v>
      </c>
      <c r="T726" s="164">
        <f t="shared" si="700"/>
        <v>680069.46038243896</v>
      </c>
      <c r="U726" s="164">
        <f t="shared" si="700"/>
        <v>553071.30600809585</v>
      </c>
      <c r="V726" s="164">
        <f t="shared" si="700"/>
        <v>426073.15163375274</v>
      </c>
      <c r="W726" s="164">
        <f t="shared" si="700"/>
        <v>299074.99725940963</v>
      </c>
      <c r="X726" s="164">
        <f t="shared" si="700"/>
        <v>172076.84288506655</v>
      </c>
      <c r="Y726" s="164">
        <f t="shared" si="700"/>
        <v>45078.688510723528</v>
      </c>
      <c r="Z726" s="164">
        <f t="shared" ref="Z726:AM726" si="701">Y731</f>
        <v>26905.994842125925</v>
      </c>
      <c r="AA726" s="164">
        <f t="shared" si="701"/>
        <v>13448.144927369634</v>
      </c>
      <c r="AB726" s="164">
        <f t="shared" si="701"/>
        <v>4494.5683803112952</v>
      </c>
      <c r="AC726" s="164">
        <f t="shared" si="701"/>
        <v>-4.638422979041934E-11</v>
      </c>
      <c r="AD726" s="164">
        <f t="shared" si="701"/>
        <v>-4.638422979041934E-11</v>
      </c>
      <c r="AE726" s="164">
        <f t="shared" si="701"/>
        <v>-4.638422979041934E-11</v>
      </c>
      <c r="AF726" s="164">
        <f t="shared" si="701"/>
        <v>-4.638422979041934E-11</v>
      </c>
      <c r="AG726" s="164">
        <f t="shared" si="701"/>
        <v>-4.638422979041934E-11</v>
      </c>
      <c r="AH726" s="164">
        <f t="shared" si="701"/>
        <v>-4.638422979041934E-11</v>
      </c>
      <c r="AI726" s="164">
        <f t="shared" si="701"/>
        <v>-4.638422979041934E-11</v>
      </c>
      <c r="AJ726" s="164">
        <f t="shared" si="701"/>
        <v>-4.638422979041934E-11</v>
      </c>
      <c r="AK726" s="164">
        <f t="shared" si="701"/>
        <v>-4.638422979041934E-11</v>
      </c>
      <c r="AL726" s="164">
        <f t="shared" si="701"/>
        <v>-4.638422979041934E-11</v>
      </c>
      <c r="AM726" s="164">
        <f t="shared" si="701"/>
        <v>-4.638422979041934E-11</v>
      </c>
    </row>
    <row r="727" spans="1:39">
      <c r="A727" s="100"/>
      <c r="B727" s="100"/>
      <c r="C727" s="100"/>
      <c r="D727" s="179" t="s">
        <v>34</v>
      </c>
      <c r="E727" s="165" t="str">
        <f>H686</f>
        <v>Terminal Domestic - Jet</v>
      </c>
      <c r="F727" s="165"/>
      <c r="G727" s="165" t="s">
        <v>83</v>
      </c>
      <c r="H727" s="121"/>
      <c r="I727" s="165"/>
      <c r="J727" s="165"/>
      <c r="K727" s="532"/>
      <c r="L727" s="532"/>
      <c r="M727" s="533"/>
      <c r="N727" s="164"/>
      <c r="O727" s="164">
        <f t="shared" ref="O727:X727" si="702">SUMIFS(O$45:O$62,$J$45:$J$62,$G724,$K$45:$K$62,$G727)</f>
        <v>45243.68860999855</v>
      </c>
      <c r="P727" s="164">
        <f t="shared" si="702"/>
        <v>47148.437538413105</v>
      </c>
      <c r="Q727" s="164">
        <f t="shared" si="702"/>
        <v>45042.733676979529</v>
      </c>
      <c r="R727" s="164">
        <f t="shared" si="702"/>
        <v>44590.081667469974</v>
      </c>
      <c r="S727" s="164">
        <f t="shared" si="702"/>
        <v>44945.68380311341</v>
      </c>
      <c r="T727" s="164">
        <f t="shared" si="702"/>
        <v>0</v>
      </c>
      <c r="U727" s="164">
        <f t="shared" si="702"/>
        <v>0</v>
      </c>
      <c r="V727" s="164">
        <f t="shared" si="702"/>
        <v>0</v>
      </c>
      <c r="W727" s="164">
        <f t="shared" si="702"/>
        <v>0</v>
      </c>
      <c r="X727" s="164">
        <f t="shared" si="702"/>
        <v>0</v>
      </c>
      <c r="Y727" s="164">
        <f>SUMIFS(Y$45:Y$62,$J$45:$J$62,$G724,$K$45:$K$62,$G727)</f>
        <v>0</v>
      </c>
      <c r="Z727" s="164">
        <f t="shared" ref="Z727:AM727" si="703">SUMIFS(Z$45:Z$62,$J$45:$J$62,$G724,$K$45:$K$62,$G727)</f>
        <v>0</v>
      </c>
      <c r="AA727" s="164">
        <f t="shared" si="703"/>
        <v>0</v>
      </c>
      <c r="AB727" s="164">
        <f t="shared" si="703"/>
        <v>0</v>
      </c>
      <c r="AC727" s="164">
        <f t="shared" si="703"/>
        <v>0</v>
      </c>
      <c r="AD727" s="164">
        <f t="shared" si="703"/>
        <v>0</v>
      </c>
      <c r="AE727" s="164">
        <f t="shared" si="703"/>
        <v>0</v>
      </c>
      <c r="AF727" s="164">
        <f t="shared" si="703"/>
        <v>0</v>
      </c>
      <c r="AG727" s="164">
        <f t="shared" si="703"/>
        <v>0</v>
      </c>
      <c r="AH727" s="164">
        <f t="shared" si="703"/>
        <v>0</v>
      </c>
      <c r="AI727" s="164">
        <f t="shared" si="703"/>
        <v>0</v>
      </c>
      <c r="AJ727" s="164">
        <f t="shared" si="703"/>
        <v>0</v>
      </c>
      <c r="AK727" s="164">
        <f t="shared" si="703"/>
        <v>0</v>
      </c>
      <c r="AL727" s="164">
        <f t="shared" si="703"/>
        <v>0</v>
      </c>
      <c r="AM727" s="164">
        <f t="shared" si="703"/>
        <v>0</v>
      </c>
    </row>
    <row r="728" spans="1:39">
      <c r="A728" s="100"/>
      <c r="B728" s="100"/>
      <c r="C728" s="100"/>
      <c r="D728" s="179" t="s">
        <v>34</v>
      </c>
      <c r="E728" s="165" t="str">
        <f>H686</f>
        <v>Terminal Domestic - Jet</v>
      </c>
      <c r="F728" s="165"/>
      <c r="G728" s="165" t="s">
        <v>78</v>
      </c>
      <c r="H728" s="121"/>
      <c r="I728" s="165"/>
      <c r="J728" s="165"/>
      <c r="K728" s="197"/>
      <c r="L728" s="197"/>
      <c r="M728" s="477"/>
      <c r="N728" s="164"/>
      <c r="O728" s="164">
        <f t="shared" ref="O728:X728" si="704">O345+SUMIFS(O$45:O$62,$J$45:$J$62,$G724,$K$45:$K$62,$G728)</f>
        <v>108825.46070574547</v>
      </c>
      <c r="P728" s="164">
        <f t="shared" si="704"/>
        <v>113540.30445958678</v>
      </c>
      <c r="Q728" s="164">
        <f t="shared" si="704"/>
        <v>118044.57782728474</v>
      </c>
      <c r="R728" s="164">
        <f t="shared" si="704"/>
        <v>122503.58599403173</v>
      </c>
      <c r="S728" s="164">
        <f t="shared" si="704"/>
        <v>126998.15437434308</v>
      </c>
      <c r="T728" s="164">
        <f t="shared" si="704"/>
        <v>126998.15437434308</v>
      </c>
      <c r="U728" s="164">
        <f t="shared" si="704"/>
        <v>126998.15437434308</v>
      </c>
      <c r="V728" s="164">
        <f t="shared" si="704"/>
        <v>126998.15437434308</v>
      </c>
      <c r="W728" s="164">
        <f t="shared" si="704"/>
        <v>126998.15437434308</v>
      </c>
      <c r="X728" s="164">
        <f t="shared" si="704"/>
        <v>126998.15437434302</v>
      </c>
      <c r="Y728" s="164">
        <f>Y345+SUMIFS(Y$45:Y$62,$J$45:$J$62,$G724,$K$45:$K$62,$G728)</f>
        <v>18172.693668597603</v>
      </c>
      <c r="Z728" s="164">
        <f t="shared" ref="Z728:AM728" si="705">Z345+SUMIFS(Z$45:Z$62,$J$45:$J$62,$G724,$K$45:$K$62,$G728)</f>
        <v>13457.849914756291</v>
      </c>
      <c r="AA728" s="164">
        <f t="shared" si="705"/>
        <v>8953.5765470583392</v>
      </c>
      <c r="AB728" s="164">
        <f t="shared" si="705"/>
        <v>4494.5683803113416</v>
      </c>
      <c r="AC728" s="164">
        <f t="shared" si="705"/>
        <v>0</v>
      </c>
      <c r="AD728" s="164">
        <f t="shared" si="705"/>
        <v>0</v>
      </c>
      <c r="AE728" s="164">
        <f t="shared" si="705"/>
        <v>0</v>
      </c>
      <c r="AF728" s="164">
        <f t="shared" si="705"/>
        <v>0</v>
      </c>
      <c r="AG728" s="164">
        <f t="shared" si="705"/>
        <v>0</v>
      </c>
      <c r="AH728" s="164">
        <f t="shared" si="705"/>
        <v>0</v>
      </c>
      <c r="AI728" s="164">
        <f t="shared" si="705"/>
        <v>0</v>
      </c>
      <c r="AJ728" s="164">
        <f t="shared" si="705"/>
        <v>0</v>
      </c>
      <c r="AK728" s="164">
        <f t="shared" si="705"/>
        <v>0</v>
      </c>
      <c r="AL728" s="164">
        <f t="shared" si="705"/>
        <v>0</v>
      </c>
      <c r="AM728" s="164">
        <f t="shared" si="705"/>
        <v>0</v>
      </c>
    </row>
    <row r="729" spans="1:39">
      <c r="A729" s="100"/>
      <c r="B729" s="100"/>
      <c r="C729" s="100"/>
      <c r="D729" s="179" t="s">
        <v>34</v>
      </c>
      <c r="E729" s="165" t="str">
        <f>H686</f>
        <v>Terminal Domestic - Jet</v>
      </c>
      <c r="F729" s="165"/>
      <c r="G729" s="165" t="s">
        <v>88</v>
      </c>
      <c r="H729" s="121"/>
      <c r="I729" s="165"/>
      <c r="J729" s="165"/>
      <c r="K729" s="197"/>
      <c r="L729" s="197"/>
      <c r="M729" s="477"/>
      <c r="N729" s="230"/>
      <c r="O729" s="230"/>
      <c r="P729" s="230"/>
      <c r="Q729" s="230"/>
      <c r="R729" s="230"/>
      <c r="S729" s="230"/>
      <c r="T729" s="230"/>
      <c r="U729" s="230"/>
      <c r="V729" s="230"/>
      <c r="W729" s="230"/>
      <c r="X729" s="230"/>
      <c r="Y729" s="230"/>
      <c r="Z729" s="230"/>
      <c r="AA729" s="230"/>
      <c r="AB729" s="230"/>
      <c r="AC729" s="230"/>
      <c r="AD729" s="230"/>
      <c r="AE729" s="230"/>
      <c r="AF729" s="230"/>
      <c r="AG729" s="230"/>
      <c r="AH729" s="230"/>
      <c r="AI729" s="230"/>
      <c r="AJ729" s="230"/>
      <c r="AK729" s="230"/>
      <c r="AL729" s="230"/>
      <c r="AM729" s="230"/>
    </row>
    <row r="730" spans="1:39">
      <c r="A730" s="100"/>
      <c r="B730" s="100"/>
      <c r="C730" s="100"/>
      <c r="D730" s="179" t="s">
        <v>34</v>
      </c>
      <c r="E730" s="165" t="str">
        <f>H686</f>
        <v>Terminal Domestic - Jet</v>
      </c>
      <c r="F730" s="165"/>
      <c r="G730" s="165" t="s">
        <v>87</v>
      </c>
      <c r="H730" s="121"/>
      <c r="I730" s="165"/>
      <c r="J730" s="165"/>
      <c r="K730" s="197"/>
      <c r="L730" s="197"/>
      <c r="M730" s="477"/>
      <c r="N730" s="164"/>
      <c r="O730" s="164">
        <f t="shared" ref="O730:X730" si="706">IF(N726&gt;0,N728/AVERAGE(N726,N731)*O729,0)</f>
        <v>0</v>
      </c>
      <c r="P730" s="164">
        <f t="shared" si="706"/>
        <v>0</v>
      </c>
      <c r="Q730" s="164">
        <f t="shared" si="706"/>
        <v>0</v>
      </c>
      <c r="R730" s="164">
        <f t="shared" si="706"/>
        <v>0</v>
      </c>
      <c r="S730" s="164">
        <f t="shared" si="706"/>
        <v>0</v>
      </c>
      <c r="T730" s="164">
        <f t="shared" si="706"/>
        <v>0</v>
      </c>
      <c r="U730" s="164">
        <f t="shared" si="706"/>
        <v>0</v>
      </c>
      <c r="V730" s="164">
        <f t="shared" si="706"/>
        <v>0</v>
      </c>
      <c r="W730" s="164">
        <f t="shared" si="706"/>
        <v>0</v>
      </c>
      <c r="X730" s="164">
        <f t="shared" si="706"/>
        <v>0</v>
      </c>
      <c r="Y730" s="164">
        <f t="shared" ref="Y730:AM730" si="707">IF(X726&gt;0,X728/AVERAGE(X726,X731)*Y729,0)</f>
        <v>0</v>
      </c>
      <c r="Z730" s="164">
        <f t="shared" si="707"/>
        <v>0</v>
      </c>
      <c r="AA730" s="164">
        <f t="shared" si="707"/>
        <v>0</v>
      </c>
      <c r="AB730" s="164">
        <f t="shared" si="707"/>
        <v>0</v>
      </c>
      <c r="AC730" s="164">
        <f t="shared" si="707"/>
        <v>0</v>
      </c>
      <c r="AD730" s="164">
        <f t="shared" si="707"/>
        <v>0</v>
      </c>
      <c r="AE730" s="164">
        <f t="shared" si="707"/>
        <v>0</v>
      </c>
      <c r="AF730" s="164">
        <f t="shared" si="707"/>
        <v>0</v>
      </c>
      <c r="AG730" s="164">
        <f t="shared" si="707"/>
        <v>0</v>
      </c>
      <c r="AH730" s="164">
        <f t="shared" si="707"/>
        <v>0</v>
      </c>
      <c r="AI730" s="164">
        <f t="shared" si="707"/>
        <v>0</v>
      </c>
      <c r="AJ730" s="164">
        <f t="shared" si="707"/>
        <v>0</v>
      </c>
      <c r="AK730" s="164">
        <f t="shared" si="707"/>
        <v>0</v>
      </c>
      <c r="AL730" s="164">
        <f t="shared" si="707"/>
        <v>0</v>
      </c>
      <c r="AM730" s="164">
        <f t="shared" si="707"/>
        <v>0</v>
      </c>
    </row>
    <row r="731" spans="1:39">
      <c r="A731" s="100"/>
      <c r="B731" s="100"/>
      <c r="C731" s="100"/>
      <c r="D731" s="179" t="s">
        <v>34</v>
      </c>
      <c r="E731" s="165" t="str">
        <f>H686</f>
        <v>Terminal Domestic - Jet</v>
      </c>
      <c r="F731" s="165"/>
      <c r="G731" s="200" t="s">
        <v>76</v>
      </c>
      <c r="H731" s="201"/>
      <c r="I731" s="200"/>
      <c r="J731" s="200"/>
      <c r="K731" s="199">
        <f>K347</f>
        <v>0</v>
      </c>
      <c r="L731" s="199">
        <f>L347</f>
        <v>0</v>
      </c>
      <c r="M731" s="527">
        <f>M347</f>
        <v>0</v>
      </c>
      <c r="N731" s="198">
        <f>N347</f>
        <v>1043010.9184474562</v>
      </c>
      <c r="O731" s="198">
        <f t="shared" ref="O731:AM731" si="708">SUM(O726:O727,O729)-SUM(O728,O730)</f>
        <v>979429.14635170926</v>
      </c>
      <c r="P731" s="198">
        <f t="shared" si="708"/>
        <v>913037.27943053562</v>
      </c>
      <c r="Q731" s="198">
        <f t="shared" si="708"/>
        <v>840035.43528023048</v>
      </c>
      <c r="R731" s="198">
        <f t="shared" si="708"/>
        <v>762121.93095366866</v>
      </c>
      <c r="S731" s="198">
        <f t="shared" si="708"/>
        <v>680069.46038243896</v>
      </c>
      <c r="T731" s="198">
        <f t="shared" si="708"/>
        <v>553071.30600809585</v>
      </c>
      <c r="U731" s="198">
        <f t="shared" si="708"/>
        <v>426073.15163375274</v>
      </c>
      <c r="V731" s="198">
        <f t="shared" si="708"/>
        <v>299074.99725940963</v>
      </c>
      <c r="W731" s="198">
        <f t="shared" si="708"/>
        <v>172076.84288506655</v>
      </c>
      <c r="X731" s="198">
        <f t="shared" si="708"/>
        <v>45078.688510723528</v>
      </c>
      <c r="Y731" s="198">
        <f t="shared" si="708"/>
        <v>26905.994842125925</v>
      </c>
      <c r="Z731" s="198">
        <f t="shared" si="708"/>
        <v>13448.144927369634</v>
      </c>
      <c r="AA731" s="198">
        <f t="shared" si="708"/>
        <v>4494.5683803112952</v>
      </c>
      <c r="AB731" s="198">
        <f t="shared" si="708"/>
        <v>-4.638422979041934E-11</v>
      </c>
      <c r="AC731" s="198">
        <f t="shared" si="708"/>
        <v>-4.638422979041934E-11</v>
      </c>
      <c r="AD731" s="198">
        <f t="shared" si="708"/>
        <v>-4.638422979041934E-11</v>
      </c>
      <c r="AE731" s="198">
        <f t="shared" si="708"/>
        <v>-4.638422979041934E-11</v>
      </c>
      <c r="AF731" s="198">
        <f t="shared" si="708"/>
        <v>-4.638422979041934E-11</v>
      </c>
      <c r="AG731" s="198">
        <f t="shared" si="708"/>
        <v>-4.638422979041934E-11</v>
      </c>
      <c r="AH731" s="198">
        <f t="shared" si="708"/>
        <v>-4.638422979041934E-11</v>
      </c>
      <c r="AI731" s="198">
        <f t="shared" si="708"/>
        <v>-4.638422979041934E-11</v>
      </c>
      <c r="AJ731" s="198">
        <f t="shared" si="708"/>
        <v>-4.638422979041934E-11</v>
      </c>
      <c r="AK731" s="198">
        <f t="shared" si="708"/>
        <v>-4.638422979041934E-11</v>
      </c>
      <c r="AL731" s="198">
        <f t="shared" si="708"/>
        <v>-4.638422979041934E-11</v>
      </c>
      <c r="AM731" s="198">
        <f t="shared" si="708"/>
        <v>-4.638422979041934E-11</v>
      </c>
    </row>
    <row r="732" spans="1:39">
      <c r="A732" s="100"/>
      <c r="B732" s="100"/>
      <c r="C732" s="100"/>
      <c r="D732" s="179"/>
      <c r="E732" s="165"/>
      <c r="F732" s="165"/>
      <c r="G732" s="165"/>
      <c r="H732" s="121"/>
      <c r="I732" s="165"/>
      <c r="J732" s="165"/>
      <c r="K732" s="197"/>
      <c r="L732" s="197"/>
      <c r="M732" s="477"/>
      <c r="N732" s="164"/>
      <c r="O732" s="164"/>
      <c r="P732" s="164"/>
      <c r="Q732" s="164"/>
      <c r="R732" s="164"/>
      <c r="S732" s="164"/>
      <c r="T732" s="164"/>
      <c r="U732" s="164"/>
      <c r="V732" s="164"/>
      <c r="W732" s="164"/>
      <c r="X732" s="164"/>
      <c r="Y732" s="164"/>
      <c r="Z732" s="164"/>
      <c r="AA732" s="164"/>
      <c r="AB732" s="164"/>
      <c r="AC732" s="164"/>
      <c r="AD732" s="164"/>
      <c r="AE732" s="164"/>
      <c r="AF732" s="164"/>
      <c r="AG732" s="164"/>
      <c r="AH732" s="164"/>
      <c r="AI732" s="164"/>
      <c r="AJ732" s="164"/>
      <c r="AK732" s="164"/>
      <c r="AL732" s="164"/>
      <c r="AM732" s="164"/>
    </row>
    <row r="733" spans="1:39">
      <c r="A733" s="100"/>
      <c r="B733" s="100"/>
      <c r="C733" s="100"/>
      <c r="D733" s="179"/>
      <c r="E733" s="165"/>
      <c r="F733" s="165"/>
      <c r="G733" s="206" t="s">
        <v>33</v>
      </c>
      <c r="H733" s="121"/>
      <c r="I733" s="165"/>
      <c r="J733" s="165"/>
      <c r="K733" s="204"/>
      <c r="L733" s="197"/>
      <c r="M733" s="477"/>
      <c r="N733" s="164"/>
      <c r="O733" s="164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  <c r="AA733" s="165"/>
      <c r="AB733" s="165"/>
      <c r="AC733" s="165"/>
      <c r="AD733" s="165"/>
      <c r="AE733" s="165"/>
      <c r="AF733" s="165"/>
      <c r="AG733" s="165"/>
      <c r="AH733" s="165"/>
      <c r="AI733" s="165"/>
      <c r="AJ733" s="165"/>
      <c r="AK733" s="165"/>
      <c r="AL733" s="165"/>
      <c r="AM733" s="165"/>
    </row>
    <row r="734" spans="1:39">
      <c r="A734" s="100"/>
      <c r="B734" s="100"/>
      <c r="C734" s="100"/>
      <c r="D734" s="179"/>
      <c r="E734" s="165"/>
      <c r="F734" s="165"/>
      <c r="G734" s="205"/>
      <c r="H734" s="121"/>
      <c r="I734" s="165"/>
      <c r="J734" s="165"/>
      <c r="K734" s="204"/>
      <c r="L734" s="197"/>
      <c r="M734" s="477"/>
      <c r="N734" s="164"/>
      <c r="O734" s="164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  <c r="AA734" s="165"/>
      <c r="AB734" s="165"/>
      <c r="AC734" s="165"/>
      <c r="AD734" s="165"/>
      <c r="AE734" s="165"/>
      <c r="AF734" s="165"/>
      <c r="AG734" s="165"/>
      <c r="AH734" s="165"/>
      <c r="AI734" s="165"/>
      <c r="AJ734" s="165"/>
      <c r="AK734" s="165"/>
      <c r="AL734" s="165"/>
      <c r="AM734" s="165"/>
    </row>
    <row r="735" spans="1:39">
      <c r="A735" s="100"/>
      <c r="B735" s="100"/>
      <c r="C735" s="100"/>
      <c r="D735" s="179" t="str">
        <f t="shared" ref="D735:D740" si="709">$G$545</f>
        <v>Airfield Runway Apron Taxi</v>
      </c>
      <c r="E735" s="165" t="str">
        <f>H686</f>
        <v>Terminal Domestic - Jet</v>
      </c>
      <c r="F735" s="165"/>
      <c r="G735" s="165" t="s">
        <v>80</v>
      </c>
      <c r="H735" s="121"/>
      <c r="I735" s="165"/>
      <c r="J735" s="165"/>
      <c r="K735" s="530">
        <f>K740</f>
        <v>0</v>
      </c>
      <c r="L735" s="530">
        <f>L740</f>
        <v>0</v>
      </c>
      <c r="M735" s="531"/>
      <c r="N735" s="164"/>
      <c r="O735" s="164">
        <f t="shared" ref="O735:Y735" si="710">N740</f>
        <v>0</v>
      </c>
      <c r="P735" s="164">
        <f t="shared" si="710"/>
        <v>0</v>
      </c>
      <c r="Q735" s="164">
        <f t="shared" si="710"/>
        <v>0</v>
      </c>
      <c r="R735" s="164">
        <f t="shared" si="710"/>
        <v>0</v>
      </c>
      <c r="S735" s="164">
        <f t="shared" si="710"/>
        <v>0</v>
      </c>
      <c r="T735" s="164">
        <f t="shared" si="710"/>
        <v>0</v>
      </c>
      <c r="U735" s="164">
        <f t="shared" si="710"/>
        <v>0</v>
      </c>
      <c r="V735" s="164">
        <f t="shared" si="710"/>
        <v>0</v>
      </c>
      <c r="W735" s="164">
        <f t="shared" si="710"/>
        <v>0</v>
      </c>
      <c r="X735" s="164">
        <f t="shared" si="710"/>
        <v>0</v>
      </c>
      <c r="Y735" s="164">
        <f t="shared" si="710"/>
        <v>0</v>
      </c>
      <c r="Z735" s="164">
        <f t="shared" ref="Z735:AM735" si="711">Y740</f>
        <v>0</v>
      </c>
      <c r="AA735" s="164">
        <f t="shared" si="711"/>
        <v>0</v>
      </c>
      <c r="AB735" s="164">
        <f t="shared" si="711"/>
        <v>0</v>
      </c>
      <c r="AC735" s="164">
        <f t="shared" si="711"/>
        <v>0</v>
      </c>
      <c r="AD735" s="164">
        <f t="shared" si="711"/>
        <v>0</v>
      </c>
      <c r="AE735" s="164">
        <f t="shared" si="711"/>
        <v>0</v>
      </c>
      <c r="AF735" s="164">
        <f t="shared" si="711"/>
        <v>0</v>
      </c>
      <c r="AG735" s="164">
        <f t="shared" si="711"/>
        <v>0</v>
      </c>
      <c r="AH735" s="164">
        <f t="shared" si="711"/>
        <v>0</v>
      </c>
      <c r="AI735" s="164">
        <f t="shared" si="711"/>
        <v>0</v>
      </c>
      <c r="AJ735" s="164">
        <f t="shared" si="711"/>
        <v>0</v>
      </c>
      <c r="AK735" s="164">
        <f t="shared" si="711"/>
        <v>0</v>
      </c>
      <c r="AL735" s="164">
        <f t="shared" si="711"/>
        <v>0</v>
      </c>
      <c r="AM735" s="164">
        <f t="shared" si="711"/>
        <v>0</v>
      </c>
    </row>
    <row r="736" spans="1:39">
      <c r="A736" s="100"/>
      <c r="B736" s="100"/>
      <c r="C736" s="100"/>
      <c r="D736" s="179" t="str">
        <f t="shared" si="709"/>
        <v>Airfield Runway Apron Taxi</v>
      </c>
      <c r="E736" s="165" t="str">
        <f>H686</f>
        <v>Terminal Domestic - Jet</v>
      </c>
      <c r="F736" s="165"/>
      <c r="G736" s="165" t="s">
        <v>83</v>
      </c>
      <c r="H736" s="121"/>
      <c r="I736" s="165"/>
      <c r="J736" s="165"/>
      <c r="K736" s="532"/>
      <c r="L736" s="532"/>
      <c r="M736" s="533"/>
      <c r="N736" s="164"/>
      <c r="O736" s="164">
        <f t="shared" ref="O736:X736" si="712">SUMIFS(O$45:O$62,$J$45:$J$62,$G733,$K$45:$K$62,$G736)</f>
        <v>0</v>
      </c>
      <c r="P736" s="164">
        <f t="shared" si="712"/>
        <v>0</v>
      </c>
      <c r="Q736" s="164">
        <f t="shared" si="712"/>
        <v>0</v>
      </c>
      <c r="R736" s="164">
        <f t="shared" si="712"/>
        <v>0</v>
      </c>
      <c r="S736" s="164">
        <f t="shared" si="712"/>
        <v>0</v>
      </c>
      <c r="T736" s="164">
        <f t="shared" si="712"/>
        <v>0</v>
      </c>
      <c r="U736" s="164">
        <f t="shared" si="712"/>
        <v>0</v>
      </c>
      <c r="V736" s="164">
        <f t="shared" si="712"/>
        <v>0</v>
      </c>
      <c r="W736" s="164">
        <f t="shared" si="712"/>
        <v>0</v>
      </c>
      <c r="X736" s="164">
        <f t="shared" si="712"/>
        <v>0</v>
      </c>
      <c r="Y736" s="164">
        <f>SUMIFS(Y$45:Y$62,$J$45:$J$62,$G733,$K$45:$K$62,$G736)</f>
        <v>0</v>
      </c>
      <c r="Z736" s="164">
        <f t="shared" ref="Z736:AM736" si="713">SUMIFS(Z$45:Z$62,$J$45:$J$62,$G733,$K$45:$K$62,$G736)</f>
        <v>0</v>
      </c>
      <c r="AA736" s="164">
        <f t="shared" si="713"/>
        <v>0</v>
      </c>
      <c r="AB736" s="164">
        <f t="shared" si="713"/>
        <v>0</v>
      </c>
      <c r="AC736" s="164">
        <f t="shared" si="713"/>
        <v>0</v>
      </c>
      <c r="AD736" s="164">
        <f t="shared" si="713"/>
        <v>0</v>
      </c>
      <c r="AE736" s="164">
        <f t="shared" si="713"/>
        <v>0</v>
      </c>
      <c r="AF736" s="164">
        <f t="shared" si="713"/>
        <v>0</v>
      </c>
      <c r="AG736" s="164">
        <f t="shared" si="713"/>
        <v>0</v>
      </c>
      <c r="AH736" s="164">
        <f t="shared" si="713"/>
        <v>0</v>
      </c>
      <c r="AI736" s="164">
        <f t="shared" si="713"/>
        <v>0</v>
      </c>
      <c r="AJ736" s="164">
        <f t="shared" si="713"/>
        <v>0</v>
      </c>
      <c r="AK736" s="164">
        <f t="shared" si="713"/>
        <v>0</v>
      </c>
      <c r="AL736" s="164">
        <f t="shared" si="713"/>
        <v>0</v>
      </c>
      <c r="AM736" s="164">
        <f t="shared" si="713"/>
        <v>0</v>
      </c>
    </row>
    <row r="737" spans="1:39">
      <c r="A737" s="100"/>
      <c r="B737" s="100"/>
      <c r="C737" s="100"/>
      <c r="D737" s="179" t="str">
        <f t="shared" si="709"/>
        <v>Airfield Runway Apron Taxi</v>
      </c>
      <c r="E737" s="165" t="str">
        <f>H686</f>
        <v>Terminal Domestic - Jet</v>
      </c>
      <c r="F737" s="165"/>
      <c r="G737" s="165" t="s">
        <v>78</v>
      </c>
      <c r="H737" s="121"/>
      <c r="I737" s="165"/>
      <c r="J737" s="165"/>
      <c r="K737" s="197"/>
      <c r="L737" s="197"/>
      <c r="M737" s="477"/>
      <c r="N737" s="164"/>
      <c r="O737" s="164">
        <f t="shared" ref="O737:X737" si="714">O354+SUMIFS(O$45:O$62,$J$45:$J$62,$G733,$K$45:$K$62,$G737)</f>
        <v>0</v>
      </c>
      <c r="P737" s="164">
        <f t="shared" si="714"/>
        <v>0</v>
      </c>
      <c r="Q737" s="164">
        <f t="shared" si="714"/>
        <v>0</v>
      </c>
      <c r="R737" s="164">
        <f t="shared" si="714"/>
        <v>0</v>
      </c>
      <c r="S737" s="164">
        <f t="shared" si="714"/>
        <v>0</v>
      </c>
      <c r="T737" s="164">
        <f t="shared" si="714"/>
        <v>0</v>
      </c>
      <c r="U737" s="164">
        <f t="shared" si="714"/>
        <v>0</v>
      </c>
      <c r="V737" s="164">
        <f t="shared" si="714"/>
        <v>0</v>
      </c>
      <c r="W737" s="164">
        <f t="shared" si="714"/>
        <v>0</v>
      </c>
      <c r="X737" s="164">
        <f t="shared" si="714"/>
        <v>0</v>
      </c>
      <c r="Y737" s="164">
        <f>Y354+SUMIFS(Y$45:Y$62,$J$45:$J$62,$G733,$K$45:$K$62,$G737)</f>
        <v>0</v>
      </c>
      <c r="Z737" s="164">
        <f t="shared" ref="Z737:AM737" si="715">Z354+SUMIFS(Z$45:Z$62,$J$45:$J$62,$G733,$K$45:$K$62,$G737)</f>
        <v>0</v>
      </c>
      <c r="AA737" s="164">
        <f t="shared" si="715"/>
        <v>0</v>
      </c>
      <c r="AB737" s="164">
        <f t="shared" si="715"/>
        <v>0</v>
      </c>
      <c r="AC737" s="164">
        <f t="shared" si="715"/>
        <v>0</v>
      </c>
      <c r="AD737" s="164">
        <f t="shared" si="715"/>
        <v>0</v>
      </c>
      <c r="AE737" s="164">
        <f t="shared" si="715"/>
        <v>0</v>
      </c>
      <c r="AF737" s="164">
        <f t="shared" si="715"/>
        <v>0</v>
      </c>
      <c r="AG737" s="164">
        <f t="shared" si="715"/>
        <v>0</v>
      </c>
      <c r="AH737" s="164">
        <f t="shared" si="715"/>
        <v>0</v>
      </c>
      <c r="AI737" s="164">
        <f t="shared" si="715"/>
        <v>0</v>
      </c>
      <c r="AJ737" s="164">
        <f t="shared" si="715"/>
        <v>0</v>
      </c>
      <c r="AK737" s="164">
        <f t="shared" si="715"/>
        <v>0</v>
      </c>
      <c r="AL737" s="164">
        <f t="shared" si="715"/>
        <v>0</v>
      </c>
      <c r="AM737" s="164">
        <f t="shared" si="715"/>
        <v>0</v>
      </c>
    </row>
    <row r="738" spans="1:39">
      <c r="A738" s="100"/>
      <c r="B738" s="100"/>
      <c r="C738" s="100"/>
      <c r="D738" s="179" t="str">
        <f t="shared" si="709"/>
        <v>Airfield Runway Apron Taxi</v>
      </c>
      <c r="E738" s="165" t="str">
        <f>H686</f>
        <v>Terminal Domestic - Jet</v>
      </c>
      <c r="F738" s="165"/>
      <c r="G738" s="165" t="s">
        <v>88</v>
      </c>
      <c r="H738" s="121"/>
      <c r="I738" s="165"/>
      <c r="J738" s="165"/>
      <c r="K738" s="197"/>
      <c r="L738" s="197"/>
      <c r="M738" s="477"/>
      <c r="N738" s="230"/>
      <c r="O738" s="230">
        <f>N740*'Volume &amp; CPI forecast'!O$13</f>
        <v>0</v>
      </c>
      <c r="P738" s="230">
        <f>O740*'Volume &amp; CPI forecast'!P$13</f>
        <v>0</v>
      </c>
      <c r="Q738" s="230">
        <f>P740*'Volume &amp; CPI forecast'!Q$13</f>
        <v>0</v>
      </c>
      <c r="R738" s="230">
        <f>Q740*'Volume &amp; CPI forecast'!R$13</f>
        <v>0</v>
      </c>
      <c r="S738" s="230">
        <f>R740*'Volume &amp; CPI forecast'!S$13</f>
        <v>0</v>
      </c>
      <c r="T738" s="230">
        <f>S740*'Volume &amp; CPI forecast'!T$13</f>
        <v>0</v>
      </c>
      <c r="U738" s="230">
        <f>T740*'Volume &amp; CPI forecast'!U$13</f>
        <v>0</v>
      </c>
      <c r="V738" s="230">
        <f>U740*'Volume &amp; CPI forecast'!V$13</f>
        <v>0</v>
      </c>
      <c r="W738" s="230">
        <f>V740*'Volume &amp; CPI forecast'!W$13</f>
        <v>0</v>
      </c>
      <c r="X738" s="230">
        <f>W740*'Volume &amp; CPI forecast'!X$13</f>
        <v>0</v>
      </c>
      <c r="Y738" s="230">
        <f>X740*'Volume &amp; CPI forecast'!Y$13</f>
        <v>0</v>
      </c>
      <c r="Z738" s="230">
        <f>Y740*'Volume &amp; CPI forecast'!Z$13</f>
        <v>0</v>
      </c>
      <c r="AA738" s="230">
        <f>Z740*'Volume &amp; CPI forecast'!AA$13</f>
        <v>0</v>
      </c>
      <c r="AB738" s="230">
        <f>AA740*'Volume &amp; CPI forecast'!AB$13</f>
        <v>0</v>
      </c>
      <c r="AC738" s="230">
        <f>AB740*'Volume &amp; CPI forecast'!AC$13</f>
        <v>0</v>
      </c>
      <c r="AD738" s="230">
        <f>AC740*'Volume &amp; CPI forecast'!AD$13</f>
        <v>0</v>
      </c>
      <c r="AE738" s="230">
        <f>AD740*'Volume &amp; CPI forecast'!AE$13</f>
        <v>0</v>
      </c>
      <c r="AF738" s="230">
        <f>AE740*'Volume &amp; CPI forecast'!AF$13</f>
        <v>0</v>
      </c>
      <c r="AG738" s="230">
        <f>AF740*'Volume &amp; CPI forecast'!AG$13</f>
        <v>0</v>
      </c>
      <c r="AH738" s="230">
        <f>AG740*'Volume &amp; CPI forecast'!AH$13</f>
        <v>0</v>
      </c>
      <c r="AI738" s="230">
        <f>AH740*'Volume &amp; CPI forecast'!AI$13</f>
        <v>0</v>
      </c>
      <c r="AJ738" s="230">
        <f>AI740*'Volume &amp; CPI forecast'!AJ$13</f>
        <v>0</v>
      </c>
      <c r="AK738" s="230">
        <f>AJ740*'Volume &amp; CPI forecast'!AK$13</f>
        <v>0</v>
      </c>
      <c r="AL738" s="230">
        <f>AK740*'Volume &amp; CPI forecast'!AL$13</f>
        <v>0</v>
      </c>
      <c r="AM738" s="230">
        <f>AL740*'Volume &amp; CPI forecast'!AM$13</f>
        <v>0</v>
      </c>
    </row>
    <row r="739" spans="1:39">
      <c r="A739" s="100"/>
      <c r="B739" s="100"/>
      <c r="C739" s="100"/>
      <c r="D739" s="179" t="str">
        <f t="shared" si="709"/>
        <v>Airfield Runway Apron Taxi</v>
      </c>
      <c r="E739" s="165" t="str">
        <f>H686</f>
        <v>Terminal Domestic - Jet</v>
      </c>
      <c r="F739" s="165"/>
      <c r="G739" s="165" t="s">
        <v>87</v>
      </c>
      <c r="H739" s="121"/>
      <c r="I739" s="165"/>
      <c r="J739" s="165"/>
      <c r="K739" s="197"/>
      <c r="L739" s="197"/>
      <c r="M739" s="477"/>
      <c r="N739" s="164"/>
      <c r="O739" s="164">
        <f t="shared" ref="O739:X739" si="716">IF(N735&gt;0,N737/AVERAGE(N735,N740)*O738,0)</f>
        <v>0</v>
      </c>
      <c r="P739" s="164">
        <f t="shared" si="716"/>
        <v>0</v>
      </c>
      <c r="Q739" s="164">
        <f t="shared" si="716"/>
        <v>0</v>
      </c>
      <c r="R739" s="164">
        <f t="shared" si="716"/>
        <v>0</v>
      </c>
      <c r="S739" s="164">
        <f t="shared" si="716"/>
        <v>0</v>
      </c>
      <c r="T739" s="164">
        <f t="shared" si="716"/>
        <v>0</v>
      </c>
      <c r="U739" s="164">
        <f t="shared" si="716"/>
        <v>0</v>
      </c>
      <c r="V739" s="164">
        <f t="shared" si="716"/>
        <v>0</v>
      </c>
      <c r="W739" s="164">
        <f t="shared" si="716"/>
        <v>0</v>
      </c>
      <c r="X739" s="164">
        <f t="shared" si="716"/>
        <v>0</v>
      </c>
      <c r="Y739" s="164">
        <f t="shared" ref="Y739:AM739" si="717">IF(X735&gt;0,X737/AVERAGE(X735,X740)*Y738,0)</f>
        <v>0</v>
      </c>
      <c r="Z739" s="164">
        <f t="shared" si="717"/>
        <v>0</v>
      </c>
      <c r="AA739" s="164">
        <f t="shared" si="717"/>
        <v>0</v>
      </c>
      <c r="AB739" s="164">
        <f t="shared" si="717"/>
        <v>0</v>
      </c>
      <c r="AC739" s="164">
        <f t="shared" si="717"/>
        <v>0</v>
      </c>
      <c r="AD739" s="164">
        <f t="shared" si="717"/>
        <v>0</v>
      </c>
      <c r="AE739" s="164">
        <f t="shared" si="717"/>
        <v>0</v>
      </c>
      <c r="AF739" s="164">
        <f t="shared" si="717"/>
        <v>0</v>
      </c>
      <c r="AG739" s="164">
        <f t="shared" si="717"/>
        <v>0</v>
      </c>
      <c r="AH739" s="164">
        <f t="shared" si="717"/>
        <v>0</v>
      </c>
      <c r="AI739" s="164">
        <f t="shared" si="717"/>
        <v>0</v>
      </c>
      <c r="AJ739" s="164">
        <f t="shared" si="717"/>
        <v>0</v>
      </c>
      <c r="AK739" s="164">
        <f t="shared" si="717"/>
        <v>0</v>
      </c>
      <c r="AL739" s="164">
        <f t="shared" si="717"/>
        <v>0</v>
      </c>
      <c r="AM739" s="164">
        <f t="shared" si="717"/>
        <v>0</v>
      </c>
    </row>
    <row r="740" spans="1:39">
      <c r="A740" s="100"/>
      <c r="B740" s="100"/>
      <c r="C740" s="100"/>
      <c r="D740" s="179" t="str">
        <f t="shared" si="709"/>
        <v>Airfield Runway Apron Taxi</v>
      </c>
      <c r="E740" s="165" t="str">
        <f>H686</f>
        <v>Terminal Domestic - Jet</v>
      </c>
      <c r="F740" s="165"/>
      <c r="G740" s="200" t="s">
        <v>76</v>
      </c>
      <c r="H740" s="201"/>
      <c r="I740" s="200"/>
      <c r="J740" s="200"/>
      <c r="K740" s="199">
        <f>K356</f>
        <v>0</v>
      </c>
      <c r="L740" s="199">
        <f>L356</f>
        <v>0</v>
      </c>
      <c r="M740" s="527">
        <f>M356</f>
        <v>0</v>
      </c>
      <c r="N740" s="198">
        <f>N356</f>
        <v>0</v>
      </c>
      <c r="O740" s="198">
        <f t="shared" ref="O740:AM740" si="718">SUM(O735:O736,O738)-SUM(O737,O739)</f>
        <v>0</v>
      </c>
      <c r="P740" s="198">
        <f t="shared" si="718"/>
        <v>0</v>
      </c>
      <c r="Q740" s="198">
        <f t="shared" si="718"/>
        <v>0</v>
      </c>
      <c r="R740" s="198">
        <f t="shared" si="718"/>
        <v>0</v>
      </c>
      <c r="S740" s="198">
        <f t="shared" si="718"/>
        <v>0</v>
      </c>
      <c r="T740" s="198">
        <f t="shared" si="718"/>
        <v>0</v>
      </c>
      <c r="U740" s="198">
        <f t="shared" si="718"/>
        <v>0</v>
      </c>
      <c r="V740" s="198">
        <f t="shared" si="718"/>
        <v>0</v>
      </c>
      <c r="W740" s="198">
        <f t="shared" si="718"/>
        <v>0</v>
      </c>
      <c r="X740" s="198">
        <f t="shared" si="718"/>
        <v>0</v>
      </c>
      <c r="Y740" s="198">
        <f t="shared" si="718"/>
        <v>0</v>
      </c>
      <c r="Z740" s="198">
        <f t="shared" si="718"/>
        <v>0</v>
      </c>
      <c r="AA740" s="198">
        <f t="shared" si="718"/>
        <v>0</v>
      </c>
      <c r="AB740" s="198">
        <f t="shared" si="718"/>
        <v>0</v>
      </c>
      <c r="AC740" s="198">
        <f t="shared" si="718"/>
        <v>0</v>
      </c>
      <c r="AD740" s="198">
        <f t="shared" si="718"/>
        <v>0</v>
      </c>
      <c r="AE740" s="198">
        <f t="shared" si="718"/>
        <v>0</v>
      </c>
      <c r="AF740" s="198">
        <f t="shared" si="718"/>
        <v>0</v>
      </c>
      <c r="AG740" s="198">
        <f t="shared" si="718"/>
        <v>0</v>
      </c>
      <c r="AH740" s="198">
        <f t="shared" si="718"/>
        <v>0</v>
      </c>
      <c r="AI740" s="198">
        <f t="shared" si="718"/>
        <v>0</v>
      </c>
      <c r="AJ740" s="198">
        <f t="shared" si="718"/>
        <v>0</v>
      </c>
      <c r="AK740" s="198">
        <f t="shared" si="718"/>
        <v>0</v>
      </c>
      <c r="AL740" s="198">
        <f t="shared" si="718"/>
        <v>0</v>
      </c>
      <c r="AM740" s="198">
        <f t="shared" si="718"/>
        <v>0</v>
      </c>
    </row>
    <row r="741" spans="1:39">
      <c r="A741" s="100"/>
      <c r="B741" s="100"/>
      <c r="C741" s="100"/>
      <c r="D741" s="179"/>
      <c r="E741" s="165"/>
      <c r="F741" s="165"/>
      <c r="G741" s="165"/>
      <c r="H741" s="121"/>
      <c r="I741" s="165"/>
      <c r="J741" s="165"/>
      <c r="K741" s="197"/>
      <c r="L741" s="197"/>
      <c r="M741" s="477"/>
      <c r="N741" s="164"/>
      <c r="O741" s="164"/>
      <c r="P741" s="164"/>
      <c r="Q741" s="164"/>
      <c r="R741" s="164"/>
      <c r="S741" s="164"/>
      <c r="T741" s="164"/>
      <c r="U741" s="164"/>
      <c r="V741" s="164"/>
      <c r="W741" s="164"/>
      <c r="X741" s="164"/>
      <c r="Y741" s="164"/>
      <c r="Z741" s="164"/>
      <c r="AA741" s="164"/>
      <c r="AB741" s="164"/>
      <c r="AC741" s="164"/>
      <c r="AD741" s="164"/>
      <c r="AE741" s="164"/>
      <c r="AF741" s="164"/>
      <c r="AG741" s="164"/>
      <c r="AH741" s="164"/>
      <c r="AI741" s="164"/>
      <c r="AJ741" s="164"/>
      <c r="AK741" s="164"/>
      <c r="AL741" s="164"/>
      <c r="AM741" s="164"/>
    </row>
    <row r="742" spans="1:39">
      <c r="A742" s="100"/>
      <c r="B742" s="100"/>
      <c r="C742" s="100"/>
      <c r="D742" s="179"/>
      <c r="E742" s="165"/>
      <c r="F742" s="165"/>
      <c r="G742" s="206" t="s">
        <v>32</v>
      </c>
      <c r="H742" s="121"/>
      <c r="I742" s="165"/>
      <c r="J742" s="165"/>
      <c r="K742" s="204"/>
      <c r="L742" s="197"/>
      <c r="M742" s="477"/>
      <c r="N742" s="164"/>
      <c r="O742" s="164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  <c r="AA742" s="165"/>
      <c r="AB742" s="165"/>
      <c r="AC742" s="165"/>
      <c r="AD742" s="165"/>
      <c r="AE742" s="165"/>
      <c r="AF742" s="165"/>
      <c r="AG742" s="165"/>
      <c r="AH742" s="165"/>
      <c r="AI742" s="165"/>
      <c r="AJ742" s="165"/>
      <c r="AK742" s="165"/>
      <c r="AL742" s="165"/>
      <c r="AM742" s="165"/>
    </row>
    <row r="743" spans="1:39">
      <c r="A743" s="100"/>
      <c r="B743" s="100"/>
      <c r="C743" s="100"/>
      <c r="D743" s="179"/>
      <c r="E743" s="165"/>
      <c r="F743" s="165"/>
      <c r="G743" s="205"/>
      <c r="H743" s="121"/>
      <c r="I743" s="165"/>
      <c r="J743" s="165"/>
      <c r="K743" s="204"/>
      <c r="L743" s="197"/>
      <c r="M743" s="477"/>
      <c r="N743" s="164"/>
      <c r="O743" s="164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  <c r="AA743" s="165"/>
      <c r="AB743" s="165"/>
      <c r="AC743" s="165"/>
      <c r="AD743" s="165"/>
      <c r="AE743" s="165"/>
      <c r="AF743" s="165"/>
      <c r="AG743" s="165"/>
      <c r="AH743" s="165"/>
      <c r="AI743" s="165"/>
      <c r="AJ743" s="165"/>
      <c r="AK743" s="165"/>
      <c r="AL743" s="165"/>
      <c r="AM743" s="165"/>
    </row>
    <row r="744" spans="1:39">
      <c r="A744" s="100"/>
      <c r="B744" s="100"/>
      <c r="C744" s="100"/>
      <c r="D744" s="179" t="str">
        <f t="shared" ref="D744:D749" si="719">$G$554</f>
        <v>Infrastructure</v>
      </c>
      <c r="E744" s="165" t="str">
        <f>H686</f>
        <v>Terminal Domestic - Jet</v>
      </c>
      <c r="F744" s="165"/>
      <c r="G744" s="165" t="s">
        <v>80</v>
      </c>
      <c r="H744" s="121"/>
      <c r="I744" s="165"/>
      <c r="J744" s="165"/>
      <c r="K744" s="530">
        <f>K749</f>
        <v>0</v>
      </c>
      <c r="L744" s="530">
        <f>L749</f>
        <v>0</v>
      </c>
      <c r="M744" s="531"/>
      <c r="N744" s="164"/>
      <c r="O744" s="164">
        <f t="shared" ref="O744:Y744" si="720">N749</f>
        <v>68831.460954112423</v>
      </c>
      <c r="P744" s="164">
        <f t="shared" si="720"/>
        <v>139026.26662987974</v>
      </c>
      <c r="Q744" s="164">
        <f t="shared" si="720"/>
        <v>147856.89875895134</v>
      </c>
      <c r="R744" s="164">
        <f t="shared" si="720"/>
        <v>133264.38371142009</v>
      </c>
      <c r="S744" s="164">
        <f t="shared" si="720"/>
        <v>117506.66358756581</v>
      </c>
      <c r="T744" s="164">
        <f t="shared" si="720"/>
        <v>148208.49344323922</v>
      </c>
      <c r="U744" s="164">
        <f t="shared" si="720"/>
        <v>131220.92800066553</v>
      </c>
      <c r="V744" s="164">
        <f t="shared" si="720"/>
        <v>114233.9980326551</v>
      </c>
      <c r="W744" s="164">
        <f t="shared" si="720"/>
        <v>96826.559349272255</v>
      </c>
      <c r="X744" s="164">
        <f t="shared" si="720"/>
        <v>78990.504240898081</v>
      </c>
      <c r="Y744" s="164">
        <f t="shared" si="720"/>
        <v>60717.93939569022</v>
      </c>
      <c r="Z744" s="164">
        <f t="shared" ref="Z744:AM744" si="721">Y749</f>
        <v>50076.048363969756</v>
      </c>
      <c r="AA744" s="164">
        <f t="shared" si="721"/>
        <v>42756.880020119235</v>
      </c>
      <c r="AB744" s="164">
        <f t="shared" si="721"/>
        <v>36456.08249595885</v>
      </c>
      <c r="AC744" s="164">
        <f t="shared" si="721"/>
        <v>31175.091819663008</v>
      </c>
      <c r="AD744" s="164">
        <f t="shared" si="721"/>
        <v>31665.401584486568</v>
      </c>
      <c r="AE744" s="164">
        <f t="shared" si="721"/>
        <v>32303.10025155804</v>
      </c>
      <c r="AF744" s="164">
        <f t="shared" si="721"/>
        <v>32956.7332526358</v>
      </c>
      <c r="AG744" s="164">
        <f t="shared" si="721"/>
        <v>33626.706902661106</v>
      </c>
      <c r="AH744" s="164">
        <f t="shared" si="721"/>
        <v>34313.429720090462</v>
      </c>
      <c r="AI744" s="164">
        <f t="shared" si="721"/>
        <v>35017.320436792354</v>
      </c>
      <c r="AJ744" s="164">
        <f t="shared" si="721"/>
        <v>35888.961505079526</v>
      </c>
      <c r="AK744" s="164">
        <f t="shared" si="721"/>
        <v>36786.185542706517</v>
      </c>
      <c r="AL744" s="164">
        <f t="shared" si="721"/>
        <v>36786.185542706517</v>
      </c>
      <c r="AM744" s="164">
        <f t="shared" si="721"/>
        <v>36786.185542706517</v>
      </c>
    </row>
    <row r="745" spans="1:39">
      <c r="A745" s="100"/>
      <c r="B745" s="100"/>
      <c r="C745" s="100"/>
      <c r="D745" s="179" t="str">
        <f t="shared" si="719"/>
        <v>Infrastructure</v>
      </c>
      <c r="E745" s="165" t="str">
        <f>H686</f>
        <v>Terminal Domestic - Jet</v>
      </c>
      <c r="F745" s="165"/>
      <c r="G745" s="165" t="s">
        <v>83</v>
      </c>
      <c r="H745" s="121"/>
      <c r="I745" s="165"/>
      <c r="J745" s="165"/>
      <c r="K745" s="532"/>
      <c r="L745" s="532"/>
      <c r="M745" s="533"/>
      <c r="N745" s="164"/>
      <c r="O745" s="164">
        <f t="shared" ref="O745:X745" si="722">SUMIFS(O$45:O$62,$J$45:$J$62,$G742,$K$45:$K$62,$G745)</f>
        <v>94355.575905385951</v>
      </c>
      <c r="P745" s="164">
        <f t="shared" si="722"/>
        <v>35689.245834679554</v>
      </c>
      <c r="Q745" s="164">
        <f t="shared" si="722"/>
        <v>13155.503968250883</v>
      </c>
      <c r="R745" s="164">
        <f t="shared" si="722"/>
        <v>13459.660743798064</v>
      </c>
      <c r="S745" s="164">
        <f t="shared" si="722"/>
        <v>60775.513681972669</v>
      </c>
      <c r="T745" s="164">
        <f t="shared" si="722"/>
        <v>0</v>
      </c>
      <c r="U745" s="164">
        <f t="shared" si="722"/>
        <v>0</v>
      </c>
      <c r="V745" s="164">
        <f t="shared" si="722"/>
        <v>0</v>
      </c>
      <c r="W745" s="164">
        <f t="shared" si="722"/>
        <v>0</v>
      </c>
      <c r="X745" s="164">
        <f t="shared" si="722"/>
        <v>0</v>
      </c>
      <c r="Y745" s="164">
        <f>SUMIFS(Y$45:Y$62,$J$45:$J$62,$G742,$K$45:$K$62,$G745)</f>
        <v>0</v>
      </c>
      <c r="Z745" s="164">
        <f t="shared" ref="Z745:AM745" si="723">SUMIFS(Z$45:Z$62,$J$45:$J$62,$G742,$K$45:$K$62,$G745)</f>
        <v>0</v>
      </c>
      <c r="AA745" s="164">
        <f t="shared" si="723"/>
        <v>0</v>
      </c>
      <c r="AB745" s="164">
        <f t="shared" si="723"/>
        <v>0</v>
      </c>
      <c r="AC745" s="164">
        <f t="shared" si="723"/>
        <v>0</v>
      </c>
      <c r="AD745" s="164">
        <f t="shared" si="723"/>
        <v>0</v>
      </c>
      <c r="AE745" s="164">
        <f t="shared" si="723"/>
        <v>0</v>
      </c>
      <c r="AF745" s="164">
        <f t="shared" si="723"/>
        <v>0</v>
      </c>
      <c r="AG745" s="164">
        <f t="shared" si="723"/>
        <v>0</v>
      </c>
      <c r="AH745" s="164">
        <f t="shared" si="723"/>
        <v>0</v>
      </c>
      <c r="AI745" s="164">
        <f t="shared" si="723"/>
        <v>0</v>
      </c>
      <c r="AJ745" s="164">
        <f t="shared" si="723"/>
        <v>0</v>
      </c>
      <c r="AK745" s="164">
        <f t="shared" si="723"/>
        <v>0</v>
      </c>
      <c r="AL745" s="164">
        <f t="shared" si="723"/>
        <v>0</v>
      </c>
      <c r="AM745" s="164">
        <f t="shared" si="723"/>
        <v>0</v>
      </c>
    </row>
    <row r="746" spans="1:39">
      <c r="A746" s="100"/>
      <c r="B746" s="100"/>
      <c r="C746" s="100"/>
      <c r="D746" s="179" t="str">
        <f t="shared" si="719"/>
        <v>Infrastructure</v>
      </c>
      <c r="E746" s="165" t="str">
        <f>H686</f>
        <v>Terminal Domestic - Jet</v>
      </c>
      <c r="F746" s="165"/>
      <c r="G746" s="165" t="s">
        <v>78</v>
      </c>
      <c r="H746" s="121"/>
      <c r="I746" s="165"/>
      <c r="J746" s="165"/>
      <c r="K746" s="197"/>
      <c r="L746" s="197"/>
      <c r="M746" s="477"/>
      <c r="N746" s="164"/>
      <c r="O746" s="164">
        <f t="shared" ref="O746:X746" si="724">O363+SUMIFS(O$45:O$62,$J$45:$J$62,$G742,$K$45:$K$62,$G746)</f>
        <v>25606.23090965498</v>
      </c>
      <c r="P746" s="164">
        <f t="shared" si="724"/>
        <v>29058.839511453392</v>
      </c>
      <c r="Q746" s="164">
        <f t="shared" si="724"/>
        <v>30223.994423880351</v>
      </c>
      <c r="R746" s="164">
        <f t="shared" si="724"/>
        <v>31414.175413312558</v>
      </c>
      <c r="S746" s="164">
        <f t="shared" si="724"/>
        <v>31923.079553460411</v>
      </c>
      <c r="T746" s="164">
        <f t="shared" si="724"/>
        <v>19802.487668832568</v>
      </c>
      <c r="U746" s="164">
        <f t="shared" si="724"/>
        <v>19802.487668832568</v>
      </c>
      <c r="V746" s="164">
        <f t="shared" si="724"/>
        <v>19802.487668832568</v>
      </c>
      <c r="W746" s="164">
        <f t="shared" si="724"/>
        <v>19802.487668832568</v>
      </c>
      <c r="X746" s="164">
        <f t="shared" si="724"/>
        <v>19802.487668832568</v>
      </c>
      <c r="Y746" s="164">
        <f>Y363+SUMIFS(Y$45:Y$62,$J$45:$J$62,$G742,$K$45:$K$62,$G746)</f>
        <v>11729.52685444905</v>
      </c>
      <c r="Z746" s="164">
        <f t="shared" ref="Z746:AM746" si="725">Z363+SUMIFS(Z$45:Z$62,$J$45:$J$62,$G742,$K$45:$K$62,$G746)</f>
        <v>8305.9972480680171</v>
      </c>
      <c r="AA746" s="164">
        <f t="shared" si="725"/>
        <v>7178.4412067405874</v>
      </c>
      <c r="AB746" s="164">
        <f t="shared" si="725"/>
        <v>6027.206488545281</v>
      </c>
      <c r="AC746" s="164">
        <f t="shared" si="725"/>
        <v>150.15325215824288</v>
      </c>
      <c r="AD746" s="164">
        <f t="shared" si="725"/>
        <v>150.15325215824288</v>
      </c>
      <c r="AE746" s="164">
        <f t="shared" si="725"/>
        <v>150.15325215824288</v>
      </c>
      <c r="AF746" s="164">
        <f t="shared" si="725"/>
        <v>150.15325215824288</v>
      </c>
      <c r="AG746" s="164">
        <f t="shared" si="725"/>
        <v>150.15325215824288</v>
      </c>
      <c r="AH746" s="164">
        <f t="shared" si="725"/>
        <v>150.15325215824288</v>
      </c>
      <c r="AI746" s="164">
        <f t="shared" si="725"/>
        <v>0</v>
      </c>
      <c r="AJ746" s="164">
        <f t="shared" si="725"/>
        <v>0</v>
      </c>
      <c r="AK746" s="164">
        <f t="shared" si="725"/>
        <v>0</v>
      </c>
      <c r="AL746" s="164">
        <f t="shared" si="725"/>
        <v>0</v>
      </c>
      <c r="AM746" s="164">
        <f t="shared" si="725"/>
        <v>0</v>
      </c>
    </row>
    <row r="747" spans="1:39">
      <c r="A747" s="100"/>
      <c r="B747" s="100"/>
      <c r="C747" s="100"/>
      <c r="D747" s="179" t="str">
        <f t="shared" si="719"/>
        <v>Infrastructure</v>
      </c>
      <c r="E747" s="165" t="str">
        <f>H686</f>
        <v>Terminal Domestic - Jet</v>
      </c>
      <c r="F747" s="165"/>
      <c r="G747" s="165" t="s">
        <v>88</v>
      </c>
      <c r="H747" s="121"/>
      <c r="I747" s="165"/>
      <c r="J747" s="165"/>
      <c r="K747" s="197"/>
      <c r="L747" s="197"/>
      <c r="M747" s="477"/>
      <c r="N747" s="230"/>
      <c r="O747" s="230">
        <f>N749*'Volume &amp; CPI forecast'!O$13</f>
        <v>1445.4606800363611</v>
      </c>
      <c r="P747" s="230">
        <f>O749*'Volume &amp; CPI forecast'!P$13</f>
        <v>2919.5515992274745</v>
      </c>
      <c r="Q747" s="230">
        <f>P749*'Volume &amp; CPI forecast'!Q$13</f>
        <v>3104.9948739379784</v>
      </c>
      <c r="R747" s="230">
        <f>Q749*'Volume &amp; CPI forecast'!R$13</f>
        <v>2798.5520579398221</v>
      </c>
      <c r="S747" s="230">
        <f>R749*'Volume &amp; CPI forecast'!S$13</f>
        <v>2467.639935338882</v>
      </c>
      <c r="T747" s="230">
        <f>S749*'Volume &amp; CPI forecast'!T$13</f>
        <v>3705.2123360809805</v>
      </c>
      <c r="U747" s="230">
        <f>T749*'Volume &amp; CPI forecast'!U$13</f>
        <v>3280.5232000166384</v>
      </c>
      <c r="V747" s="230">
        <f>U749*'Volume &amp; CPI forecast'!V$13</f>
        <v>2855.8499508163777</v>
      </c>
      <c r="W747" s="230">
        <f>V749*'Volume &amp; CPI forecast'!W$13</f>
        <v>2420.6639837318066</v>
      </c>
      <c r="X747" s="230">
        <f>W749*'Volume &amp; CPI forecast'!X$13</f>
        <v>1974.762606022452</v>
      </c>
      <c r="Y747" s="230">
        <f>X749*'Volume &amp; CPI forecast'!Y$13</f>
        <v>1517.9484848922557</v>
      </c>
      <c r="Z747" s="230">
        <f>Y749*'Volume &amp; CPI forecast'!Z$13</f>
        <v>1251.9012090992439</v>
      </c>
      <c r="AA747" s="230">
        <f>Z749*'Volume &amp; CPI forecast'!AA$13</f>
        <v>1068.9220005029808</v>
      </c>
      <c r="AB747" s="230">
        <f>AA749*'Volume &amp; CPI forecast'!AB$13</f>
        <v>911.40206239897134</v>
      </c>
      <c r="AC747" s="230">
        <f>AB749*'Volume &amp; CPI forecast'!AC$13</f>
        <v>779.3772954915753</v>
      </c>
      <c r="AD747" s="230">
        <f>AC749*'Volume &amp; CPI forecast'!AD$13</f>
        <v>791.63503961216429</v>
      </c>
      <c r="AE747" s="230">
        <f>AD749*'Volume &amp; CPI forecast'!AE$13</f>
        <v>807.5775062889511</v>
      </c>
      <c r="AF747" s="230">
        <f>AE749*'Volume &amp; CPI forecast'!AF$13</f>
        <v>823.9183313158951</v>
      </c>
      <c r="AG747" s="230">
        <f>AF749*'Volume &amp; CPI forecast'!AG$13</f>
        <v>840.6676725665277</v>
      </c>
      <c r="AH747" s="230">
        <f>AG749*'Volume &amp; CPI forecast'!AH$13</f>
        <v>857.83574300226155</v>
      </c>
      <c r="AI747" s="230">
        <f>AH749*'Volume &amp; CPI forecast'!AI$13</f>
        <v>875.43301091980891</v>
      </c>
      <c r="AJ747" s="230">
        <f>AI749*'Volume &amp; CPI forecast'!AJ$13</f>
        <v>897.22403762698821</v>
      </c>
      <c r="AK747" s="230">
        <f>AJ749*'Volume &amp; CPI forecast'!AK$13</f>
        <v>0</v>
      </c>
      <c r="AL747" s="230">
        <f>AK749*'Volume &amp; CPI forecast'!AL$13</f>
        <v>0</v>
      </c>
      <c r="AM747" s="230">
        <f>AL749*'Volume &amp; CPI forecast'!AM$13</f>
        <v>0</v>
      </c>
    </row>
    <row r="748" spans="1:39">
      <c r="A748" s="100"/>
      <c r="B748" s="100"/>
      <c r="C748" s="100"/>
      <c r="D748" s="179" t="str">
        <f t="shared" si="719"/>
        <v>Infrastructure</v>
      </c>
      <c r="E748" s="165" t="str">
        <f>H686</f>
        <v>Terminal Domestic - Jet</v>
      </c>
      <c r="F748" s="165"/>
      <c r="G748" s="165" t="s">
        <v>87</v>
      </c>
      <c r="H748" s="121"/>
      <c r="I748" s="165"/>
      <c r="J748" s="165"/>
      <c r="K748" s="197"/>
      <c r="L748" s="197"/>
      <c r="M748" s="477"/>
      <c r="N748" s="164"/>
      <c r="O748" s="164">
        <f t="shared" ref="O748:X748" si="726">IF(N744&gt;0,N746/AVERAGE(N744,N749)*O747,0)</f>
        <v>0</v>
      </c>
      <c r="P748" s="164">
        <f t="shared" si="726"/>
        <v>719.32579338203641</v>
      </c>
      <c r="Q748" s="164">
        <f t="shared" si="726"/>
        <v>629.01946583974711</v>
      </c>
      <c r="R748" s="164">
        <f t="shared" si="726"/>
        <v>601.7575122796095</v>
      </c>
      <c r="S748" s="164">
        <f t="shared" si="726"/>
        <v>618.24420817773068</v>
      </c>
      <c r="T748" s="164">
        <f t="shared" si="726"/>
        <v>890.29010982210048</v>
      </c>
      <c r="U748" s="164">
        <f t="shared" si="726"/>
        <v>464.96549919450638</v>
      </c>
      <c r="V748" s="164">
        <f t="shared" si="726"/>
        <v>460.80096536665411</v>
      </c>
      <c r="W748" s="164">
        <f t="shared" si="726"/>
        <v>454.23142327341168</v>
      </c>
      <c r="X748" s="164">
        <f t="shared" si="726"/>
        <v>444.83978239774876</v>
      </c>
      <c r="Y748" s="164">
        <f t="shared" ref="Y748:AM748" si="727">IF(X744&gt;0,X746/AVERAGE(X744,X749)*Y747,0)</f>
        <v>430.31266216367425</v>
      </c>
      <c r="Z748" s="164">
        <f t="shared" si="727"/>
        <v>265.07230488175156</v>
      </c>
      <c r="AA748" s="164">
        <f t="shared" si="727"/>
        <v>191.27831792277777</v>
      </c>
      <c r="AB748" s="164">
        <f t="shared" si="727"/>
        <v>165.18625014953059</v>
      </c>
      <c r="AC748" s="164">
        <f t="shared" si="727"/>
        <v>138.91427850977433</v>
      </c>
      <c r="AD748" s="164">
        <f t="shared" si="727"/>
        <v>3.7831203824487076</v>
      </c>
      <c r="AE748" s="164">
        <f t="shared" si="727"/>
        <v>3.7912530529455899</v>
      </c>
      <c r="AF748" s="164">
        <f t="shared" si="727"/>
        <v>3.7914291323444447</v>
      </c>
      <c r="AG748" s="164">
        <f t="shared" si="727"/>
        <v>3.7916029789314845</v>
      </c>
      <c r="AH748" s="164">
        <f t="shared" si="727"/>
        <v>3.7917741421272857</v>
      </c>
      <c r="AI748" s="164">
        <f t="shared" si="727"/>
        <v>3.7919426326369337</v>
      </c>
      <c r="AJ748" s="164">
        <f t="shared" si="727"/>
        <v>0</v>
      </c>
      <c r="AK748" s="164">
        <f t="shared" si="727"/>
        <v>0</v>
      </c>
      <c r="AL748" s="164">
        <f t="shared" si="727"/>
        <v>0</v>
      </c>
      <c r="AM748" s="164">
        <f t="shared" si="727"/>
        <v>0</v>
      </c>
    </row>
    <row r="749" spans="1:39">
      <c r="A749" s="100"/>
      <c r="B749" s="100"/>
      <c r="C749" s="100"/>
      <c r="D749" s="179" t="str">
        <f t="shared" si="719"/>
        <v>Infrastructure</v>
      </c>
      <c r="E749" s="165" t="str">
        <f>H686</f>
        <v>Terminal Domestic - Jet</v>
      </c>
      <c r="F749" s="165"/>
      <c r="G749" s="200" t="s">
        <v>76</v>
      </c>
      <c r="H749" s="201"/>
      <c r="I749" s="200"/>
      <c r="J749" s="200"/>
      <c r="K749" s="199">
        <f>K365</f>
        <v>0</v>
      </c>
      <c r="L749" s="199">
        <f>L365</f>
        <v>0</v>
      </c>
      <c r="M749" s="527">
        <f>M365</f>
        <v>0</v>
      </c>
      <c r="N749" s="198">
        <f>N365</f>
        <v>68831.460954112423</v>
      </c>
      <c r="O749" s="198">
        <f t="shared" ref="O749:AM749" si="728">SUM(O744:O745,O747)-SUM(O746,O748)</f>
        <v>139026.26662987974</v>
      </c>
      <c r="P749" s="198">
        <f t="shared" si="728"/>
        <v>147856.89875895134</v>
      </c>
      <c r="Q749" s="198">
        <f t="shared" si="728"/>
        <v>133264.38371142009</v>
      </c>
      <c r="R749" s="198">
        <f t="shared" si="728"/>
        <v>117506.66358756581</v>
      </c>
      <c r="S749" s="198">
        <f t="shared" si="728"/>
        <v>148208.49344323922</v>
      </c>
      <c r="T749" s="198">
        <f t="shared" si="728"/>
        <v>131220.92800066553</v>
      </c>
      <c r="U749" s="198">
        <f t="shared" si="728"/>
        <v>114233.9980326551</v>
      </c>
      <c r="V749" s="198">
        <f t="shared" si="728"/>
        <v>96826.559349272255</v>
      </c>
      <c r="W749" s="198">
        <f t="shared" si="728"/>
        <v>78990.504240898081</v>
      </c>
      <c r="X749" s="198">
        <f t="shared" si="728"/>
        <v>60717.93939569022</v>
      </c>
      <c r="Y749" s="198">
        <f t="shared" si="728"/>
        <v>50076.048363969756</v>
      </c>
      <c r="Z749" s="198">
        <f t="shared" si="728"/>
        <v>42756.880020119235</v>
      </c>
      <c r="AA749" s="198">
        <f t="shared" si="728"/>
        <v>36456.08249595885</v>
      </c>
      <c r="AB749" s="198">
        <f t="shared" si="728"/>
        <v>31175.091819663008</v>
      </c>
      <c r="AC749" s="198">
        <f t="shared" si="728"/>
        <v>31665.401584486568</v>
      </c>
      <c r="AD749" s="198">
        <f t="shared" si="728"/>
        <v>32303.10025155804</v>
      </c>
      <c r="AE749" s="198">
        <f t="shared" si="728"/>
        <v>32956.7332526358</v>
      </c>
      <c r="AF749" s="198">
        <f t="shared" si="728"/>
        <v>33626.706902661106</v>
      </c>
      <c r="AG749" s="198">
        <f t="shared" si="728"/>
        <v>34313.429720090462</v>
      </c>
      <c r="AH749" s="198">
        <f t="shared" si="728"/>
        <v>35017.320436792354</v>
      </c>
      <c r="AI749" s="198">
        <f t="shared" si="728"/>
        <v>35888.961505079526</v>
      </c>
      <c r="AJ749" s="198">
        <f t="shared" si="728"/>
        <v>36786.185542706517</v>
      </c>
      <c r="AK749" s="198">
        <f t="shared" si="728"/>
        <v>36786.185542706517</v>
      </c>
      <c r="AL749" s="198">
        <f t="shared" si="728"/>
        <v>36786.185542706517</v>
      </c>
      <c r="AM749" s="198">
        <f t="shared" si="728"/>
        <v>36786.185542706517</v>
      </c>
    </row>
    <row r="750" spans="1:39">
      <c r="A750" s="100"/>
      <c r="B750" s="100"/>
      <c r="C750" s="100"/>
      <c r="D750" s="179"/>
      <c r="E750" s="165"/>
      <c r="F750" s="165"/>
      <c r="G750" s="165"/>
      <c r="H750" s="121"/>
      <c r="I750" s="165"/>
      <c r="J750" s="165"/>
      <c r="K750" s="197"/>
      <c r="L750" s="197"/>
      <c r="M750" s="477"/>
      <c r="N750" s="164"/>
      <c r="O750" s="164"/>
      <c r="P750" s="164"/>
      <c r="Q750" s="164"/>
      <c r="R750" s="164"/>
      <c r="S750" s="164"/>
      <c r="T750" s="164"/>
      <c r="U750" s="164"/>
      <c r="V750" s="164"/>
      <c r="W750" s="164"/>
      <c r="X750" s="164"/>
      <c r="Y750" s="164"/>
      <c r="Z750" s="164"/>
      <c r="AA750" s="164"/>
      <c r="AB750" s="164"/>
      <c r="AC750" s="164"/>
      <c r="AD750" s="164"/>
      <c r="AE750" s="164"/>
      <c r="AF750" s="164"/>
      <c r="AG750" s="164"/>
      <c r="AH750" s="164"/>
      <c r="AI750" s="164"/>
      <c r="AJ750" s="164"/>
      <c r="AK750" s="164"/>
      <c r="AL750" s="164"/>
      <c r="AM750" s="164"/>
    </row>
    <row r="751" spans="1:39">
      <c r="A751" s="100"/>
      <c r="B751" s="100"/>
      <c r="C751" s="100"/>
      <c r="D751" s="179"/>
      <c r="E751" s="165"/>
      <c r="F751" s="165"/>
      <c r="G751" s="206" t="s">
        <v>31</v>
      </c>
      <c r="H751" s="121"/>
      <c r="I751" s="165"/>
      <c r="J751" s="165"/>
      <c r="K751" s="204"/>
      <c r="L751" s="197"/>
      <c r="M751" s="477"/>
      <c r="N751" s="164"/>
      <c r="O751" s="164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  <c r="AG751" s="165"/>
      <c r="AH751" s="165"/>
      <c r="AI751" s="165"/>
      <c r="AJ751" s="165"/>
      <c r="AK751" s="165"/>
      <c r="AL751" s="165"/>
      <c r="AM751" s="165"/>
    </row>
    <row r="752" spans="1:39">
      <c r="A752" s="100"/>
      <c r="B752" s="100"/>
      <c r="C752" s="100"/>
      <c r="D752" s="179"/>
      <c r="E752" s="165"/>
      <c r="F752" s="165"/>
      <c r="G752" s="205"/>
      <c r="H752" s="121"/>
      <c r="I752" s="165"/>
      <c r="J752" s="165"/>
      <c r="K752" s="204"/>
      <c r="L752" s="197"/>
      <c r="M752" s="477"/>
      <c r="N752" s="164"/>
      <c r="O752" s="164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  <c r="AG752" s="165"/>
      <c r="AH752" s="165"/>
      <c r="AI752" s="165"/>
      <c r="AJ752" s="165"/>
      <c r="AK752" s="165"/>
      <c r="AL752" s="165"/>
      <c r="AM752" s="165"/>
    </row>
    <row r="753" spans="1:39">
      <c r="A753" s="100"/>
      <c r="B753" s="100"/>
      <c r="C753" s="100"/>
      <c r="D753" s="179" t="str">
        <f t="shared" ref="D753:D758" si="729">$G$563</f>
        <v>Terminal facilities</v>
      </c>
      <c r="E753" s="165" t="str">
        <f>H686</f>
        <v>Terminal Domestic - Jet</v>
      </c>
      <c r="F753" s="165"/>
      <c r="G753" s="165" t="s">
        <v>80</v>
      </c>
      <c r="H753" s="121"/>
      <c r="I753" s="165"/>
      <c r="J753" s="165"/>
      <c r="K753" s="530">
        <f>K758</f>
        <v>0</v>
      </c>
      <c r="L753" s="530">
        <f>L758</f>
        <v>0</v>
      </c>
      <c r="M753" s="531"/>
      <c r="N753" s="164"/>
      <c r="O753" s="164">
        <f t="shared" ref="O753:Y753" si="730">N758</f>
        <v>81083053.507438153</v>
      </c>
      <c r="P753" s="164">
        <f t="shared" si="730"/>
        <v>79887749.765456229</v>
      </c>
      <c r="Q753" s="164">
        <f t="shared" si="730"/>
        <v>78525675.731919914</v>
      </c>
      <c r="R753" s="164">
        <f t="shared" si="730"/>
        <v>77135221.783224091</v>
      </c>
      <c r="S753" s="164">
        <f t="shared" si="730"/>
        <v>75819255.657501534</v>
      </c>
      <c r="T753" s="164">
        <f t="shared" si="730"/>
        <v>74373351.648172677</v>
      </c>
      <c r="U753" s="164">
        <f t="shared" si="730"/>
        <v>73111909.751921475</v>
      </c>
      <c r="V753" s="164">
        <f t="shared" si="730"/>
        <v>71818850.040311947</v>
      </c>
      <c r="W753" s="164">
        <f t="shared" si="730"/>
        <v>70493491.92267397</v>
      </c>
      <c r="X753" s="164">
        <f t="shared" si="730"/>
        <v>69135029.628962457</v>
      </c>
      <c r="Y753" s="164">
        <f t="shared" si="730"/>
        <v>67742637.456993952</v>
      </c>
      <c r="Z753" s="164">
        <f t="shared" ref="Z753:AM753" si="731">Y758</f>
        <v>66321418.31324444</v>
      </c>
      <c r="AA753" s="164">
        <f t="shared" si="731"/>
        <v>64869928.542018279</v>
      </c>
      <c r="AB753" s="164">
        <f t="shared" si="731"/>
        <v>63386371.496383324</v>
      </c>
      <c r="AC753" s="164">
        <f t="shared" si="731"/>
        <v>61884347.002448507</v>
      </c>
      <c r="AD753" s="164">
        <f t="shared" si="731"/>
        <v>60351607.70109503</v>
      </c>
      <c r="AE753" s="164">
        <f t="shared" si="731"/>
        <v>58782010.804466799</v>
      </c>
      <c r="AF753" s="164">
        <f t="shared" si="731"/>
        <v>57173805.513747849</v>
      </c>
      <c r="AG753" s="164">
        <f t="shared" si="731"/>
        <v>55526025.035717875</v>
      </c>
      <c r="AH753" s="164">
        <f t="shared" si="731"/>
        <v>53837120.401264891</v>
      </c>
      <c r="AI753" s="164">
        <f t="shared" si="731"/>
        <v>52106054.873234183</v>
      </c>
      <c r="AJ753" s="164">
        <f t="shared" si="731"/>
        <v>50331780.011840217</v>
      </c>
      <c r="AK753" s="164">
        <f t="shared" si="731"/>
        <v>48513221.924630873</v>
      </c>
      <c r="AL753" s="164">
        <f t="shared" si="731"/>
        <v>45510145.868799828</v>
      </c>
      <c r="AM753" s="164">
        <f t="shared" si="731"/>
        <v>42507069.812968783</v>
      </c>
    </row>
    <row r="754" spans="1:39">
      <c r="A754" s="100"/>
      <c r="B754" s="100"/>
      <c r="C754" s="100"/>
      <c r="D754" s="179" t="str">
        <f t="shared" si="729"/>
        <v>Terminal facilities</v>
      </c>
      <c r="E754" s="165" t="str">
        <f>H686</f>
        <v>Terminal Domestic - Jet</v>
      </c>
      <c r="F754" s="165"/>
      <c r="G754" s="165" t="s">
        <v>83</v>
      </c>
      <c r="H754" s="121"/>
      <c r="I754" s="165"/>
      <c r="J754" s="165"/>
      <c r="K754" s="532"/>
      <c r="L754" s="532"/>
      <c r="M754" s="533"/>
      <c r="N754" s="164"/>
      <c r="O754" s="164">
        <f t="shared" ref="O754:X754" si="732">SUMIFS(O$45:O$62,$J$45:$J$62,$G751,$K$45:$K$62,$G754)</f>
        <v>124389.72061982841</v>
      </c>
      <c r="P754" s="164">
        <f t="shared" si="732"/>
        <v>50800.761901137914</v>
      </c>
      <c r="Q754" s="164">
        <f t="shared" si="732"/>
        <v>56377.802066371522</v>
      </c>
      <c r="R754" s="164">
        <f t="shared" si="732"/>
        <v>165777.79942012412</v>
      </c>
      <c r="S754" s="164">
        <f t="shared" si="732"/>
        <v>70524.638836644459</v>
      </c>
      <c r="T754" s="164">
        <f t="shared" si="732"/>
        <v>0</v>
      </c>
      <c r="U754" s="164">
        <f t="shared" si="732"/>
        <v>0</v>
      </c>
      <c r="V754" s="164">
        <f t="shared" si="732"/>
        <v>0</v>
      </c>
      <c r="W754" s="164">
        <f t="shared" si="732"/>
        <v>0</v>
      </c>
      <c r="X754" s="164">
        <f t="shared" si="732"/>
        <v>0</v>
      </c>
      <c r="Y754" s="164">
        <f>SUMIFS(Y$45:Y$62,$J$45:$J$62,$G751,$K$45:$K$62,$G754)</f>
        <v>0</v>
      </c>
      <c r="Z754" s="164">
        <f t="shared" ref="Z754:AM754" si="733">SUMIFS(Z$45:Z$62,$J$45:$J$62,$G751,$K$45:$K$62,$G754)</f>
        <v>0</v>
      </c>
      <c r="AA754" s="164">
        <f t="shared" si="733"/>
        <v>0</v>
      </c>
      <c r="AB754" s="164">
        <f t="shared" si="733"/>
        <v>0</v>
      </c>
      <c r="AC754" s="164">
        <f t="shared" si="733"/>
        <v>0</v>
      </c>
      <c r="AD754" s="164">
        <f t="shared" si="733"/>
        <v>0</v>
      </c>
      <c r="AE754" s="164">
        <f t="shared" si="733"/>
        <v>0</v>
      </c>
      <c r="AF754" s="164">
        <f t="shared" si="733"/>
        <v>0</v>
      </c>
      <c r="AG754" s="164">
        <f t="shared" si="733"/>
        <v>0</v>
      </c>
      <c r="AH754" s="164">
        <f t="shared" si="733"/>
        <v>0</v>
      </c>
      <c r="AI754" s="164">
        <f t="shared" si="733"/>
        <v>0</v>
      </c>
      <c r="AJ754" s="164">
        <f t="shared" si="733"/>
        <v>0</v>
      </c>
      <c r="AK754" s="164">
        <f t="shared" si="733"/>
        <v>0</v>
      </c>
      <c r="AL754" s="164">
        <f t="shared" si="733"/>
        <v>0</v>
      </c>
      <c r="AM754" s="164">
        <f t="shared" si="733"/>
        <v>0</v>
      </c>
    </row>
    <row r="755" spans="1:39">
      <c r="A755" s="100"/>
      <c r="B755" s="100"/>
      <c r="C755" s="100"/>
      <c r="D755" s="179" t="str">
        <f t="shared" si="729"/>
        <v>Terminal facilities</v>
      </c>
      <c r="E755" s="165" t="str">
        <f>H686</f>
        <v>Terminal Domestic - Jet</v>
      </c>
      <c r="F755" s="165"/>
      <c r="G755" s="165" t="s">
        <v>78</v>
      </c>
      <c r="H755" s="121"/>
      <c r="I755" s="165"/>
      <c r="J755" s="165"/>
      <c r="K755" s="197"/>
      <c r="L755" s="197"/>
      <c r="M755" s="477"/>
      <c r="N755" s="164"/>
      <c r="O755" s="164">
        <f t="shared" ref="O755:X755" si="734">O372+SUMIFS(O$45:O$62,$J$45:$J$62,$G751,$K$45:$K$62,$G755)</f>
        <v>3022437.5862579551</v>
      </c>
      <c r="P755" s="164">
        <f t="shared" si="734"/>
        <v>3027517.6624480686</v>
      </c>
      <c r="Q755" s="164">
        <f t="shared" si="734"/>
        <v>3032839.7269631345</v>
      </c>
      <c r="R755" s="164">
        <f t="shared" si="734"/>
        <v>3038462.8612937606</v>
      </c>
      <c r="S755" s="164">
        <f t="shared" si="734"/>
        <v>3045374.275899752</v>
      </c>
      <c r="T755" s="164">
        <f t="shared" si="734"/>
        <v>3045374.275899752</v>
      </c>
      <c r="U755" s="164">
        <f t="shared" si="734"/>
        <v>3045374.275899752</v>
      </c>
      <c r="V755" s="164">
        <f t="shared" si="734"/>
        <v>3045374.275899752</v>
      </c>
      <c r="W755" s="164">
        <f t="shared" si="734"/>
        <v>3045374.275899752</v>
      </c>
      <c r="X755" s="164">
        <f t="shared" si="734"/>
        <v>3045374.275899752</v>
      </c>
      <c r="Y755" s="164">
        <f>Y372+SUMIFS(Y$45:Y$62,$J$45:$J$62,$G751,$K$45:$K$62,$G755)</f>
        <v>3039425.2023048904</v>
      </c>
      <c r="Z755" s="164">
        <f t="shared" ref="Z755:AM755" si="735">Z372+SUMIFS(Z$45:Z$62,$J$45:$J$62,$G751,$K$45:$K$62,$G755)</f>
        <v>3034345.1261147768</v>
      </c>
      <c r="AA755" s="164">
        <f t="shared" si="735"/>
        <v>3030285.9243659982</v>
      </c>
      <c r="AB755" s="164">
        <f t="shared" si="735"/>
        <v>3011802.9258680544</v>
      </c>
      <c r="AC755" s="164">
        <f t="shared" si="735"/>
        <v>3005455.7083727564</v>
      </c>
      <c r="AD755" s="164">
        <f t="shared" si="735"/>
        <v>3004192.8456064695</v>
      </c>
      <c r="AE755" s="164">
        <f t="shared" si="735"/>
        <v>3003640.2529417356</v>
      </c>
      <c r="AF755" s="164">
        <f t="shared" si="735"/>
        <v>3003076.0558310426</v>
      </c>
      <c r="AG755" s="164">
        <f t="shared" si="735"/>
        <v>3003076.0558310426</v>
      </c>
      <c r="AH755" s="164">
        <f t="shared" si="735"/>
        <v>3003076.0558310426</v>
      </c>
      <c r="AI755" s="164">
        <f t="shared" si="735"/>
        <v>3003076.0558310426</v>
      </c>
      <c r="AJ755" s="164">
        <f t="shared" si="735"/>
        <v>3003076.0558310426</v>
      </c>
      <c r="AK755" s="164">
        <f t="shared" si="735"/>
        <v>3003076.0558310426</v>
      </c>
      <c r="AL755" s="164">
        <f t="shared" si="735"/>
        <v>3003076.0558310426</v>
      </c>
      <c r="AM755" s="164">
        <f t="shared" si="735"/>
        <v>3003076.0558310426</v>
      </c>
    </row>
    <row r="756" spans="1:39">
      <c r="A756" s="100"/>
      <c r="B756" s="100"/>
      <c r="C756" s="100"/>
      <c r="D756" s="179" t="str">
        <f t="shared" si="729"/>
        <v>Terminal facilities</v>
      </c>
      <c r="E756" s="165" t="str">
        <f>H686</f>
        <v>Terminal Domestic - Jet</v>
      </c>
      <c r="F756" s="165"/>
      <c r="G756" s="165" t="s">
        <v>88</v>
      </c>
      <c r="H756" s="121"/>
      <c r="I756" s="165"/>
      <c r="J756" s="165"/>
      <c r="K756" s="197"/>
      <c r="L756" s="197"/>
      <c r="M756" s="477"/>
      <c r="N756" s="539"/>
      <c r="O756" s="230">
        <f>N758*'Volume &amp; CPI forecast'!O$13</f>
        <v>1702744.1236562014</v>
      </c>
      <c r="P756" s="230">
        <f>O758*'Volume &amp; CPI forecast'!P$13</f>
        <v>1677642.7450745809</v>
      </c>
      <c r="Q756" s="230">
        <f>P758*'Volume &amp; CPI forecast'!Q$13</f>
        <v>1649039.1903703182</v>
      </c>
      <c r="R756" s="230">
        <f>Q758*'Volume &amp; CPI forecast'!R$13</f>
        <v>1619839.657447706</v>
      </c>
      <c r="S756" s="230">
        <f>R758*'Volume &amp; CPI forecast'!S$13</f>
        <v>1592204.3688075324</v>
      </c>
      <c r="T756" s="230">
        <f>S758*'Volume &amp; CPI forecast'!T$13</f>
        <v>1859333.791204317</v>
      </c>
      <c r="U756" s="230">
        <f>T758*'Volume &amp; CPI forecast'!U$13</f>
        <v>1827797.7437980371</v>
      </c>
      <c r="V756" s="230">
        <f>U758*'Volume &amp; CPI forecast'!V$13</f>
        <v>1795471.2510077988</v>
      </c>
      <c r="W756" s="230">
        <f>V758*'Volume &amp; CPI forecast'!W$13</f>
        <v>1762337.2980668494</v>
      </c>
      <c r="X756" s="230">
        <f>W758*'Volume &amp; CPI forecast'!X$13</f>
        <v>1728375.7407240616</v>
      </c>
      <c r="Y756" s="230">
        <f>X758*'Volume &amp; CPI forecast'!Y$13</f>
        <v>1693565.9364248489</v>
      </c>
      <c r="Z756" s="230">
        <f>Y758*'Volume &amp; CPI forecast'!Z$13</f>
        <v>1658035.457831111</v>
      </c>
      <c r="AA756" s="230">
        <f>Z758*'Volume &amp; CPI forecast'!AA$13</f>
        <v>1621748.213550457</v>
      </c>
      <c r="AB756" s="230">
        <f>AA758*'Volume &amp; CPI forecast'!AB$13</f>
        <v>1584659.2874095831</v>
      </c>
      <c r="AC756" s="230">
        <f>AB758*'Volume &amp; CPI forecast'!AC$13</f>
        <v>1547108.6750612129</v>
      </c>
      <c r="AD756" s="230">
        <f>AC758*'Volume &amp; CPI forecast'!AD$13</f>
        <v>1508790.1925273759</v>
      </c>
      <c r="AE756" s="230">
        <f>AD758*'Volume &amp; CPI forecast'!AE$13</f>
        <v>1469550.27011167</v>
      </c>
      <c r="AF756" s="230">
        <f>AE758*'Volume &amp; CPI forecast'!AF$13</f>
        <v>1429345.1378436964</v>
      </c>
      <c r="AG756" s="230">
        <f>AF758*'Volume &amp; CPI forecast'!AG$13</f>
        <v>1388150.625892947</v>
      </c>
      <c r="AH756" s="230">
        <f>AG758*'Volume &amp; CPI forecast'!AH$13</f>
        <v>1345928.0100316224</v>
      </c>
      <c r="AI756" s="230">
        <f>AH758*'Volume &amp; CPI forecast'!AI$13</f>
        <v>1302651.3718308546</v>
      </c>
      <c r="AJ756" s="230">
        <f>AI758*'Volume &amp; CPI forecast'!AJ$13</f>
        <v>1258294.5002960055</v>
      </c>
      <c r="AK756" s="230">
        <f>AJ758*'Volume &amp; CPI forecast'!AK$13</f>
        <v>0</v>
      </c>
      <c r="AL756" s="230">
        <f>AK758*'Volume &amp; CPI forecast'!AL$13</f>
        <v>0</v>
      </c>
      <c r="AM756" s="230">
        <f>AL758*'Volume &amp; CPI forecast'!AM$13</f>
        <v>0</v>
      </c>
    </row>
    <row r="757" spans="1:39">
      <c r="A757" s="100"/>
      <c r="B757" s="100"/>
      <c r="C757" s="100"/>
      <c r="D757" s="179" t="str">
        <f t="shared" si="729"/>
        <v>Terminal facilities</v>
      </c>
      <c r="E757" s="165" t="str">
        <f>H686</f>
        <v>Terminal Domestic - Jet</v>
      </c>
      <c r="F757" s="165"/>
      <c r="G757" s="165" t="s">
        <v>87</v>
      </c>
      <c r="H757" s="121"/>
      <c r="I757" s="165"/>
      <c r="J757" s="165"/>
      <c r="K757" s="197"/>
      <c r="L757" s="197"/>
      <c r="M757" s="477"/>
      <c r="N757" s="164"/>
      <c r="O757" s="164">
        <f t="shared" ref="O757:X757" si="736">IF(N753&gt;0,N755/AVERAGE(N753,N758)*O756,0)</f>
        <v>0</v>
      </c>
      <c r="P757" s="164">
        <f t="shared" si="736"/>
        <v>62999.878063976983</v>
      </c>
      <c r="Q757" s="164">
        <f t="shared" si="736"/>
        <v>63031.214169381041</v>
      </c>
      <c r="R757" s="164">
        <f t="shared" si="736"/>
        <v>63120.721296622462</v>
      </c>
      <c r="S757" s="164">
        <f t="shared" si="736"/>
        <v>63258.741073286619</v>
      </c>
      <c r="T757" s="164">
        <f t="shared" si="736"/>
        <v>75401.41155577192</v>
      </c>
      <c r="U757" s="164">
        <f t="shared" si="736"/>
        <v>75483.179507814799</v>
      </c>
      <c r="V757" s="164">
        <f t="shared" si="736"/>
        <v>75455.092746015012</v>
      </c>
      <c r="W757" s="164">
        <f t="shared" si="736"/>
        <v>75425.315878609545</v>
      </c>
      <c r="X757" s="164">
        <f t="shared" si="736"/>
        <v>75393.636792805366</v>
      </c>
      <c r="Y757" s="164">
        <f t="shared" ref="Y757:AM757" si="737">IF(X753&gt;0,X755/AVERAGE(X753,X758)*Y756,0)</f>
        <v>75359.877869477103</v>
      </c>
      <c r="Z757" s="164">
        <f t="shared" si="737"/>
        <v>75180.102942488273</v>
      </c>
      <c r="AA757" s="164">
        <f t="shared" si="737"/>
        <v>75019.334819410346</v>
      </c>
      <c r="AB757" s="164">
        <f t="shared" si="737"/>
        <v>74880.85547634447</v>
      </c>
      <c r="AC757" s="164">
        <f t="shared" si="737"/>
        <v>74392.268041931296</v>
      </c>
      <c r="AD757" s="164">
        <f t="shared" si="737"/>
        <v>74194.243549140898</v>
      </c>
      <c r="AE757" s="164">
        <f t="shared" si="737"/>
        <v>74115.30788888823</v>
      </c>
      <c r="AF757" s="164">
        <f t="shared" si="737"/>
        <v>74049.560042629557</v>
      </c>
      <c r="AG757" s="164">
        <f t="shared" si="737"/>
        <v>73979.204514886413</v>
      </c>
      <c r="AH757" s="164">
        <f t="shared" si="737"/>
        <v>73917.482231293834</v>
      </c>
      <c r="AI757" s="164">
        <f t="shared" si="737"/>
        <v>73850.177393773542</v>
      </c>
      <c r="AJ757" s="164">
        <f t="shared" si="737"/>
        <v>73776.531674302314</v>
      </c>
      <c r="AK757" s="164">
        <f t="shared" si="737"/>
        <v>0</v>
      </c>
      <c r="AL757" s="164">
        <f t="shared" si="737"/>
        <v>0</v>
      </c>
      <c r="AM757" s="164">
        <f t="shared" si="737"/>
        <v>0</v>
      </c>
    </row>
    <row r="758" spans="1:39">
      <c r="A758" s="100"/>
      <c r="B758" s="100"/>
      <c r="C758" s="100"/>
      <c r="D758" s="179" t="str">
        <f t="shared" si="729"/>
        <v>Terminal facilities</v>
      </c>
      <c r="E758" s="165" t="str">
        <f>H686</f>
        <v>Terminal Domestic - Jet</v>
      </c>
      <c r="F758" s="165"/>
      <c r="G758" s="200" t="s">
        <v>76</v>
      </c>
      <c r="H758" s="201"/>
      <c r="I758" s="200"/>
      <c r="J758" s="200"/>
      <c r="K758" s="199">
        <f>K374</f>
        <v>0</v>
      </c>
      <c r="L758" s="199">
        <f>L374</f>
        <v>0</v>
      </c>
      <c r="M758" s="527">
        <f>M374</f>
        <v>0</v>
      </c>
      <c r="N758" s="198">
        <f>N374</f>
        <v>81083053.507438153</v>
      </c>
      <c r="O758" s="198">
        <f t="shared" ref="O758:AM758" si="738">SUM(O753:O754,O756)-SUM(O755,O757)</f>
        <v>79887749.765456229</v>
      </c>
      <c r="P758" s="198">
        <f t="shared" si="738"/>
        <v>78525675.731919914</v>
      </c>
      <c r="Q758" s="198">
        <f t="shared" si="738"/>
        <v>77135221.783224091</v>
      </c>
      <c r="R758" s="198">
        <f t="shared" si="738"/>
        <v>75819255.657501534</v>
      </c>
      <c r="S758" s="198">
        <f t="shared" si="738"/>
        <v>74373351.648172677</v>
      </c>
      <c r="T758" s="198">
        <f t="shared" si="738"/>
        <v>73111909.751921475</v>
      </c>
      <c r="U758" s="198">
        <f t="shared" si="738"/>
        <v>71818850.040311947</v>
      </c>
      <c r="V758" s="198">
        <f t="shared" si="738"/>
        <v>70493491.92267397</v>
      </c>
      <c r="W758" s="198">
        <f t="shared" si="738"/>
        <v>69135029.628962457</v>
      </c>
      <c r="X758" s="198">
        <f t="shared" si="738"/>
        <v>67742637.456993952</v>
      </c>
      <c r="Y758" s="198">
        <f t="shared" si="738"/>
        <v>66321418.31324444</v>
      </c>
      <c r="Z758" s="198">
        <f t="shared" si="738"/>
        <v>64869928.542018279</v>
      </c>
      <c r="AA758" s="198">
        <f t="shared" si="738"/>
        <v>63386371.496383324</v>
      </c>
      <c r="AB758" s="198">
        <f t="shared" si="738"/>
        <v>61884347.002448507</v>
      </c>
      <c r="AC758" s="198">
        <f t="shared" si="738"/>
        <v>60351607.70109503</v>
      </c>
      <c r="AD758" s="198">
        <f t="shared" si="738"/>
        <v>58782010.804466799</v>
      </c>
      <c r="AE758" s="198">
        <f t="shared" si="738"/>
        <v>57173805.513747849</v>
      </c>
      <c r="AF758" s="198">
        <f t="shared" si="738"/>
        <v>55526025.035717875</v>
      </c>
      <c r="AG758" s="198">
        <f t="shared" si="738"/>
        <v>53837120.401264891</v>
      </c>
      <c r="AH758" s="198">
        <f t="shared" si="738"/>
        <v>52106054.873234183</v>
      </c>
      <c r="AI758" s="198">
        <f t="shared" si="738"/>
        <v>50331780.011840217</v>
      </c>
      <c r="AJ758" s="198">
        <f t="shared" si="738"/>
        <v>48513221.924630873</v>
      </c>
      <c r="AK758" s="198">
        <f t="shared" si="738"/>
        <v>45510145.868799828</v>
      </c>
      <c r="AL758" s="198">
        <f t="shared" si="738"/>
        <v>42507069.812968783</v>
      </c>
      <c r="AM758" s="198">
        <f t="shared" si="738"/>
        <v>39503993.757137738</v>
      </c>
    </row>
    <row r="759" spans="1:39">
      <c r="A759" s="100"/>
      <c r="B759" s="100"/>
      <c r="C759" s="100"/>
      <c r="D759" s="179"/>
      <c r="E759" s="165"/>
      <c r="F759" s="165"/>
      <c r="G759" s="165"/>
      <c r="H759" s="121"/>
      <c r="I759" s="165"/>
      <c r="J759" s="165"/>
      <c r="K759" s="197"/>
      <c r="L759" s="197"/>
      <c r="M759" s="477"/>
      <c r="N759" s="164"/>
      <c r="O759" s="164"/>
      <c r="P759" s="164"/>
      <c r="Q759" s="164"/>
      <c r="R759" s="164"/>
      <c r="S759" s="164"/>
      <c r="T759" s="164"/>
      <c r="U759" s="164"/>
      <c r="V759" s="164"/>
      <c r="W759" s="164"/>
      <c r="X759" s="164"/>
      <c r="Y759" s="164"/>
      <c r="Z759" s="164"/>
      <c r="AA759" s="164"/>
      <c r="AB759" s="164"/>
      <c r="AC759" s="164"/>
      <c r="AD759" s="164"/>
      <c r="AE759" s="164"/>
      <c r="AF759" s="164"/>
      <c r="AG759" s="164"/>
      <c r="AH759" s="164"/>
      <c r="AI759" s="164"/>
      <c r="AJ759" s="164"/>
      <c r="AK759" s="164"/>
      <c r="AL759" s="164"/>
      <c r="AM759" s="164"/>
    </row>
    <row r="760" spans="1:39">
      <c r="A760" s="100"/>
      <c r="B760" s="100"/>
      <c r="C760" s="100"/>
      <c r="D760" s="179"/>
      <c r="E760" s="165"/>
      <c r="F760" s="165"/>
      <c r="G760" s="206" t="s">
        <v>30</v>
      </c>
      <c r="H760" s="121"/>
      <c r="I760" s="165"/>
      <c r="J760" s="165"/>
      <c r="K760" s="204"/>
      <c r="L760" s="197"/>
      <c r="M760" s="477"/>
      <c r="N760" s="164"/>
      <c r="O760" s="164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  <c r="AA760" s="165"/>
      <c r="AB760" s="165"/>
      <c r="AC760" s="165"/>
      <c r="AD760" s="165"/>
      <c r="AE760" s="165"/>
      <c r="AF760" s="165"/>
      <c r="AG760" s="165"/>
      <c r="AH760" s="165"/>
      <c r="AI760" s="165"/>
      <c r="AJ760" s="165"/>
      <c r="AK760" s="165"/>
      <c r="AL760" s="165"/>
      <c r="AM760" s="165"/>
    </row>
    <row r="761" spans="1:39">
      <c r="A761" s="100"/>
      <c r="B761" s="100"/>
      <c r="C761" s="100"/>
      <c r="D761" s="179"/>
      <c r="E761" s="165"/>
      <c r="F761" s="165"/>
      <c r="G761" s="205"/>
      <c r="H761" s="121"/>
      <c r="I761" s="165"/>
      <c r="J761" s="165"/>
      <c r="K761" s="204"/>
      <c r="L761" s="197"/>
      <c r="M761" s="477"/>
      <c r="N761" s="164"/>
      <c r="O761" s="164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  <c r="AA761" s="165"/>
      <c r="AB761" s="165"/>
      <c r="AC761" s="165"/>
      <c r="AD761" s="165"/>
      <c r="AE761" s="165"/>
      <c r="AF761" s="165"/>
      <c r="AG761" s="165"/>
      <c r="AH761" s="165"/>
      <c r="AI761" s="165"/>
      <c r="AJ761" s="165"/>
      <c r="AK761" s="165"/>
      <c r="AL761" s="165"/>
      <c r="AM761" s="165"/>
    </row>
    <row r="762" spans="1:39">
      <c r="A762" s="100"/>
      <c r="B762" s="100"/>
      <c r="C762" s="100"/>
      <c r="D762" s="179" t="str">
        <f t="shared" ref="D762:D767" si="739">$G$572</f>
        <v>Car parking</v>
      </c>
      <c r="E762" s="165" t="str">
        <f>H686</f>
        <v>Terminal Domestic - Jet</v>
      </c>
      <c r="F762" s="165"/>
      <c r="G762" s="165" t="s">
        <v>80</v>
      </c>
      <c r="H762" s="121"/>
      <c r="I762" s="165"/>
      <c r="J762" s="165"/>
      <c r="K762" s="530">
        <f>K767</f>
        <v>0</v>
      </c>
      <c r="L762" s="530">
        <f>L767</f>
        <v>0</v>
      </c>
      <c r="M762" s="531"/>
      <c r="N762" s="164"/>
      <c r="O762" s="164">
        <f t="shared" ref="O762:Y762" si="740">N767</f>
        <v>0</v>
      </c>
      <c r="P762" s="164">
        <f t="shared" si="740"/>
        <v>0</v>
      </c>
      <c r="Q762" s="164">
        <f t="shared" si="740"/>
        <v>0</v>
      </c>
      <c r="R762" s="164">
        <f t="shared" si="740"/>
        <v>0</v>
      </c>
      <c r="S762" s="164">
        <f t="shared" si="740"/>
        <v>0</v>
      </c>
      <c r="T762" s="164">
        <f t="shared" si="740"/>
        <v>0</v>
      </c>
      <c r="U762" s="164">
        <f t="shared" si="740"/>
        <v>0</v>
      </c>
      <c r="V762" s="164">
        <f t="shared" si="740"/>
        <v>0</v>
      </c>
      <c r="W762" s="164">
        <f t="shared" si="740"/>
        <v>0</v>
      </c>
      <c r="X762" s="164">
        <f t="shared" si="740"/>
        <v>0</v>
      </c>
      <c r="Y762" s="164">
        <f t="shared" si="740"/>
        <v>0</v>
      </c>
      <c r="Z762" s="164">
        <f t="shared" ref="Z762:AM762" si="741">Y767</f>
        <v>0</v>
      </c>
      <c r="AA762" s="164">
        <f t="shared" si="741"/>
        <v>0</v>
      </c>
      <c r="AB762" s="164">
        <f t="shared" si="741"/>
        <v>0</v>
      </c>
      <c r="AC762" s="164">
        <f t="shared" si="741"/>
        <v>0</v>
      </c>
      <c r="AD762" s="164">
        <f t="shared" si="741"/>
        <v>0</v>
      </c>
      <c r="AE762" s="164">
        <f t="shared" si="741"/>
        <v>0</v>
      </c>
      <c r="AF762" s="164">
        <f t="shared" si="741"/>
        <v>0</v>
      </c>
      <c r="AG762" s="164">
        <f t="shared" si="741"/>
        <v>0</v>
      </c>
      <c r="AH762" s="164">
        <f t="shared" si="741"/>
        <v>0</v>
      </c>
      <c r="AI762" s="164">
        <f t="shared" si="741"/>
        <v>0</v>
      </c>
      <c r="AJ762" s="164">
        <f t="shared" si="741"/>
        <v>0</v>
      </c>
      <c r="AK762" s="164">
        <f t="shared" si="741"/>
        <v>0</v>
      </c>
      <c r="AL762" s="164">
        <f t="shared" si="741"/>
        <v>0</v>
      </c>
      <c r="AM762" s="164">
        <f t="shared" si="741"/>
        <v>0</v>
      </c>
    </row>
    <row r="763" spans="1:39">
      <c r="A763" s="100"/>
      <c r="B763" s="100"/>
      <c r="C763" s="100"/>
      <c r="D763" s="179" t="str">
        <f t="shared" si="739"/>
        <v>Car parking</v>
      </c>
      <c r="E763" s="165" t="str">
        <f>H686</f>
        <v>Terminal Domestic - Jet</v>
      </c>
      <c r="F763" s="165"/>
      <c r="G763" s="165" t="s">
        <v>83</v>
      </c>
      <c r="H763" s="121"/>
      <c r="I763" s="165"/>
      <c r="J763" s="165"/>
      <c r="K763" s="532"/>
      <c r="L763" s="532"/>
      <c r="M763" s="533"/>
      <c r="N763" s="164"/>
      <c r="O763" s="164">
        <f t="shared" ref="O763:X763" si="742">SUMIFS(O$45:O$62,$J$45:$J$62,$G760,$K$45:$K$62,$G763)</f>
        <v>0</v>
      </c>
      <c r="P763" s="164">
        <f t="shared" si="742"/>
        <v>0</v>
      </c>
      <c r="Q763" s="164">
        <f t="shared" si="742"/>
        <v>0</v>
      </c>
      <c r="R763" s="164">
        <f t="shared" si="742"/>
        <v>0</v>
      </c>
      <c r="S763" s="164">
        <f t="shared" si="742"/>
        <v>0</v>
      </c>
      <c r="T763" s="164">
        <f t="shared" si="742"/>
        <v>0</v>
      </c>
      <c r="U763" s="164">
        <f t="shared" si="742"/>
        <v>0</v>
      </c>
      <c r="V763" s="164">
        <f t="shared" si="742"/>
        <v>0</v>
      </c>
      <c r="W763" s="164">
        <f t="shared" si="742"/>
        <v>0</v>
      </c>
      <c r="X763" s="164">
        <f t="shared" si="742"/>
        <v>0</v>
      </c>
      <c r="Y763" s="164">
        <f>SUMIFS(Y$45:Y$62,$J$45:$J$62,$G760,$K$45:$K$62,$G763)</f>
        <v>0</v>
      </c>
      <c r="Z763" s="164">
        <f t="shared" ref="Z763:AM763" si="743">SUMIFS(Z$45:Z$62,$J$45:$J$62,$G760,$K$45:$K$62,$G763)</f>
        <v>0</v>
      </c>
      <c r="AA763" s="164">
        <f t="shared" si="743"/>
        <v>0</v>
      </c>
      <c r="AB763" s="164">
        <f t="shared" si="743"/>
        <v>0</v>
      </c>
      <c r="AC763" s="164">
        <f t="shared" si="743"/>
        <v>0</v>
      </c>
      <c r="AD763" s="164">
        <f t="shared" si="743"/>
        <v>0</v>
      </c>
      <c r="AE763" s="164">
        <f t="shared" si="743"/>
        <v>0</v>
      </c>
      <c r="AF763" s="164">
        <f t="shared" si="743"/>
        <v>0</v>
      </c>
      <c r="AG763" s="164">
        <f t="shared" si="743"/>
        <v>0</v>
      </c>
      <c r="AH763" s="164">
        <f t="shared" si="743"/>
        <v>0</v>
      </c>
      <c r="AI763" s="164">
        <f t="shared" si="743"/>
        <v>0</v>
      </c>
      <c r="AJ763" s="164">
        <f t="shared" si="743"/>
        <v>0</v>
      </c>
      <c r="AK763" s="164">
        <f t="shared" si="743"/>
        <v>0</v>
      </c>
      <c r="AL763" s="164">
        <f t="shared" si="743"/>
        <v>0</v>
      </c>
      <c r="AM763" s="164">
        <f t="shared" si="743"/>
        <v>0</v>
      </c>
    </row>
    <row r="764" spans="1:39">
      <c r="A764" s="100"/>
      <c r="B764" s="100"/>
      <c r="C764" s="100"/>
      <c r="D764" s="179" t="str">
        <f t="shared" si="739"/>
        <v>Car parking</v>
      </c>
      <c r="E764" s="165" t="str">
        <f>H686</f>
        <v>Terminal Domestic - Jet</v>
      </c>
      <c r="F764" s="165"/>
      <c r="G764" s="165" t="s">
        <v>78</v>
      </c>
      <c r="H764" s="121"/>
      <c r="I764" s="165"/>
      <c r="J764" s="165"/>
      <c r="K764" s="197"/>
      <c r="L764" s="197"/>
      <c r="M764" s="477"/>
      <c r="N764" s="164"/>
      <c r="O764" s="164">
        <f t="shared" ref="O764:X764" si="744">O381+SUMIFS(O$45:O$62,$J$45:$J$62,$G760,$K$45:$K$62,$G764)</f>
        <v>0</v>
      </c>
      <c r="P764" s="164">
        <f t="shared" si="744"/>
        <v>0</v>
      </c>
      <c r="Q764" s="164">
        <f t="shared" si="744"/>
        <v>0</v>
      </c>
      <c r="R764" s="164">
        <f t="shared" si="744"/>
        <v>0</v>
      </c>
      <c r="S764" s="164">
        <f t="shared" si="744"/>
        <v>0</v>
      </c>
      <c r="T764" s="164">
        <f t="shared" si="744"/>
        <v>0</v>
      </c>
      <c r="U764" s="164">
        <f t="shared" si="744"/>
        <v>0</v>
      </c>
      <c r="V764" s="164">
        <f t="shared" si="744"/>
        <v>0</v>
      </c>
      <c r="W764" s="164">
        <f t="shared" si="744"/>
        <v>0</v>
      </c>
      <c r="X764" s="164">
        <f t="shared" si="744"/>
        <v>0</v>
      </c>
      <c r="Y764" s="164">
        <f>Y381+SUMIFS(Y$45:Y$62,$J$45:$J$62,$G760,$K$45:$K$62,$G764)</f>
        <v>0</v>
      </c>
      <c r="Z764" s="164">
        <f t="shared" ref="Z764:AM764" si="745">Z381+SUMIFS(Z$45:Z$62,$J$45:$J$62,$G760,$K$45:$K$62,$G764)</f>
        <v>0</v>
      </c>
      <c r="AA764" s="164">
        <f t="shared" si="745"/>
        <v>0</v>
      </c>
      <c r="AB764" s="164">
        <f t="shared" si="745"/>
        <v>0</v>
      </c>
      <c r="AC764" s="164">
        <f t="shared" si="745"/>
        <v>0</v>
      </c>
      <c r="AD764" s="164">
        <f t="shared" si="745"/>
        <v>0</v>
      </c>
      <c r="AE764" s="164">
        <f t="shared" si="745"/>
        <v>0</v>
      </c>
      <c r="AF764" s="164">
        <f t="shared" si="745"/>
        <v>0</v>
      </c>
      <c r="AG764" s="164">
        <f t="shared" si="745"/>
        <v>0</v>
      </c>
      <c r="AH764" s="164">
        <f t="shared" si="745"/>
        <v>0</v>
      </c>
      <c r="AI764" s="164">
        <f t="shared" si="745"/>
        <v>0</v>
      </c>
      <c r="AJ764" s="164">
        <f t="shared" si="745"/>
        <v>0</v>
      </c>
      <c r="AK764" s="164">
        <f t="shared" si="745"/>
        <v>0</v>
      </c>
      <c r="AL764" s="164">
        <f t="shared" si="745"/>
        <v>0</v>
      </c>
      <c r="AM764" s="164">
        <f t="shared" si="745"/>
        <v>0</v>
      </c>
    </row>
    <row r="765" spans="1:39">
      <c r="A765" s="100"/>
      <c r="B765" s="100"/>
      <c r="C765" s="100"/>
      <c r="D765" s="179" t="str">
        <f t="shared" si="739"/>
        <v>Car parking</v>
      </c>
      <c r="E765" s="165" t="str">
        <f>H686</f>
        <v>Terminal Domestic - Jet</v>
      </c>
      <c r="F765" s="165"/>
      <c r="G765" s="165" t="s">
        <v>88</v>
      </c>
      <c r="H765" s="121"/>
      <c r="I765" s="165"/>
      <c r="J765" s="165"/>
      <c r="K765" s="197"/>
      <c r="L765" s="197"/>
      <c r="M765" s="477"/>
      <c r="N765" s="230"/>
      <c r="O765" s="230">
        <f>N767*'Volume &amp; CPI forecast'!O$13</f>
        <v>0</v>
      </c>
      <c r="P765" s="230">
        <f>O767*'Volume &amp; CPI forecast'!P$13</f>
        <v>0</v>
      </c>
      <c r="Q765" s="230">
        <f>P767*'Volume &amp; CPI forecast'!Q$13</f>
        <v>0</v>
      </c>
      <c r="R765" s="230">
        <f>Q767*'Volume &amp; CPI forecast'!R$13</f>
        <v>0</v>
      </c>
      <c r="S765" s="230">
        <f>R767*'Volume &amp; CPI forecast'!S$13</f>
        <v>0</v>
      </c>
      <c r="T765" s="230">
        <f>S767*'Volume &amp; CPI forecast'!T$13</f>
        <v>0</v>
      </c>
      <c r="U765" s="230">
        <f>T767*'Volume &amp; CPI forecast'!U$13</f>
        <v>0</v>
      </c>
      <c r="V765" s="230">
        <f>U767*'Volume &amp; CPI forecast'!V$13</f>
        <v>0</v>
      </c>
      <c r="W765" s="230">
        <f>V767*'Volume &amp; CPI forecast'!W$13</f>
        <v>0</v>
      </c>
      <c r="X765" s="230">
        <f>W767*'Volume &amp; CPI forecast'!X$13</f>
        <v>0</v>
      </c>
      <c r="Y765" s="230">
        <f>X767*'Volume &amp; CPI forecast'!Y$13</f>
        <v>0</v>
      </c>
      <c r="Z765" s="230">
        <f>Y767*'Volume &amp; CPI forecast'!Z$13</f>
        <v>0</v>
      </c>
      <c r="AA765" s="230">
        <f>Z767*'Volume &amp; CPI forecast'!AA$13</f>
        <v>0</v>
      </c>
      <c r="AB765" s="230">
        <f>AA767*'Volume &amp; CPI forecast'!AB$13</f>
        <v>0</v>
      </c>
      <c r="AC765" s="230">
        <f>AB767*'Volume &amp; CPI forecast'!AC$13</f>
        <v>0</v>
      </c>
      <c r="AD765" s="230">
        <f>AC767*'Volume &amp; CPI forecast'!AD$13</f>
        <v>0</v>
      </c>
      <c r="AE765" s="230">
        <f>AD767*'Volume &amp; CPI forecast'!AE$13</f>
        <v>0</v>
      </c>
      <c r="AF765" s="230">
        <f>AE767*'Volume &amp; CPI forecast'!AF$13</f>
        <v>0</v>
      </c>
      <c r="AG765" s="230">
        <f>AF767*'Volume &amp; CPI forecast'!AG$13</f>
        <v>0</v>
      </c>
      <c r="AH765" s="230">
        <f>AG767*'Volume &amp; CPI forecast'!AH$13</f>
        <v>0</v>
      </c>
      <c r="AI765" s="230">
        <f>AH767*'Volume &amp; CPI forecast'!AI$13</f>
        <v>0</v>
      </c>
      <c r="AJ765" s="230">
        <f>AI767*'Volume &amp; CPI forecast'!AJ$13</f>
        <v>0</v>
      </c>
      <c r="AK765" s="230">
        <f>AJ767*'Volume &amp; CPI forecast'!AK$13</f>
        <v>0</v>
      </c>
      <c r="AL765" s="230">
        <f>AK767*'Volume &amp; CPI forecast'!AL$13</f>
        <v>0</v>
      </c>
      <c r="AM765" s="230">
        <f>AL767*'Volume &amp; CPI forecast'!AM$13</f>
        <v>0</v>
      </c>
    </row>
    <row r="766" spans="1:39">
      <c r="A766" s="100"/>
      <c r="B766" s="100"/>
      <c r="C766" s="100"/>
      <c r="D766" s="179" t="str">
        <f t="shared" si="739"/>
        <v>Car parking</v>
      </c>
      <c r="E766" s="165" t="str">
        <f>H686</f>
        <v>Terminal Domestic - Jet</v>
      </c>
      <c r="F766" s="165"/>
      <c r="G766" s="165" t="s">
        <v>87</v>
      </c>
      <c r="H766" s="121"/>
      <c r="I766" s="165"/>
      <c r="J766" s="165"/>
      <c r="K766" s="197"/>
      <c r="L766" s="197"/>
      <c r="M766" s="477"/>
      <c r="N766" s="164"/>
      <c r="O766" s="164">
        <f t="shared" ref="O766:X766" si="746">IF(N762&gt;0,N764/AVERAGE(N762,N767)*O765,0)</f>
        <v>0</v>
      </c>
      <c r="P766" s="164">
        <f t="shared" si="746"/>
        <v>0</v>
      </c>
      <c r="Q766" s="164">
        <f t="shared" si="746"/>
        <v>0</v>
      </c>
      <c r="R766" s="164">
        <f t="shared" si="746"/>
        <v>0</v>
      </c>
      <c r="S766" s="164">
        <f t="shared" si="746"/>
        <v>0</v>
      </c>
      <c r="T766" s="164">
        <f t="shared" si="746"/>
        <v>0</v>
      </c>
      <c r="U766" s="164">
        <f t="shared" si="746"/>
        <v>0</v>
      </c>
      <c r="V766" s="164">
        <f t="shared" si="746"/>
        <v>0</v>
      </c>
      <c r="W766" s="164">
        <f t="shared" si="746"/>
        <v>0</v>
      </c>
      <c r="X766" s="164">
        <f t="shared" si="746"/>
        <v>0</v>
      </c>
      <c r="Y766" s="164">
        <f t="shared" ref="Y766:AM766" si="747">IF(X762&gt;0,X764/AVERAGE(X762,X767)*Y765,0)</f>
        <v>0</v>
      </c>
      <c r="Z766" s="164">
        <f t="shared" si="747"/>
        <v>0</v>
      </c>
      <c r="AA766" s="164">
        <f t="shared" si="747"/>
        <v>0</v>
      </c>
      <c r="AB766" s="164">
        <f t="shared" si="747"/>
        <v>0</v>
      </c>
      <c r="AC766" s="164">
        <f t="shared" si="747"/>
        <v>0</v>
      </c>
      <c r="AD766" s="164">
        <f t="shared" si="747"/>
        <v>0</v>
      </c>
      <c r="AE766" s="164">
        <f t="shared" si="747"/>
        <v>0</v>
      </c>
      <c r="AF766" s="164">
        <f t="shared" si="747"/>
        <v>0</v>
      </c>
      <c r="AG766" s="164">
        <f t="shared" si="747"/>
        <v>0</v>
      </c>
      <c r="AH766" s="164">
        <f t="shared" si="747"/>
        <v>0</v>
      </c>
      <c r="AI766" s="164">
        <f t="shared" si="747"/>
        <v>0</v>
      </c>
      <c r="AJ766" s="164">
        <f t="shared" si="747"/>
        <v>0</v>
      </c>
      <c r="AK766" s="164">
        <f t="shared" si="747"/>
        <v>0</v>
      </c>
      <c r="AL766" s="164">
        <f t="shared" si="747"/>
        <v>0</v>
      </c>
      <c r="AM766" s="164">
        <f t="shared" si="747"/>
        <v>0</v>
      </c>
    </row>
    <row r="767" spans="1:39">
      <c r="A767" s="100"/>
      <c r="B767" s="100"/>
      <c r="C767" s="100"/>
      <c r="D767" s="179" t="str">
        <f t="shared" si="739"/>
        <v>Car parking</v>
      </c>
      <c r="E767" s="165" t="str">
        <f>H686</f>
        <v>Terminal Domestic - Jet</v>
      </c>
      <c r="F767" s="165"/>
      <c r="G767" s="200" t="s">
        <v>76</v>
      </c>
      <c r="H767" s="201"/>
      <c r="I767" s="200"/>
      <c r="J767" s="200"/>
      <c r="K767" s="199">
        <f>K383</f>
        <v>0</v>
      </c>
      <c r="L767" s="199">
        <f>L383</f>
        <v>0</v>
      </c>
      <c r="M767" s="527">
        <f>M383</f>
        <v>0</v>
      </c>
      <c r="N767" s="198">
        <f>N383</f>
        <v>0</v>
      </c>
      <c r="O767" s="198">
        <f t="shared" ref="O767:AM767" si="748">SUM(O762:O763,O765)-SUM(O764,O766)</f>
        <v>0</v>
      </c>
      <c r="P767" s="198">
        <f t="shared" si="748"/>
        <v>0</v>
      </c>
      <c r="Q767" s="198">
        <f t="shared" si="748"/>
        <v>0</v>
      </c>
      <c r="R767" s="198">
        <f t="shared" si="748"/>
        <v>0</v>
      </c>
      <c r="S767" s="198">
        <f t="shared" si="748"/>
        <v>0</v>
      </c>
      <c r="T767" s="198">
        <f t="shared" si="748"/>
        <v>0</v>
      </c>
      <c r="U767" s="198">
        <f t="shared" si="748"/>
        <v>0</v>
      </c>
      <c r="V767" s="198">
        <f t="shared" si="748"/>
        <v>0</v>
      </c>
      <c r="W767" s="198">
        <f t="shared" si="748"/>
        <v>0</v>
      </c>
      <c r="X767" s="198">
        <f t="shared" si="748"/>
        <v>0</v>
      </c>
      <c r="Y767" s="198">
        <f t="shared" si="748"/>
        <v>0</v>
      </c>
      <c r="Z767" s="198">
        <f t="shared" si="748"/>
        <v>0</v>
      </c>
      <c r="AA767" s="198">
        <f t="shared" si="748"/>
        <v>0</v>
      </c>
      <c r="AB767" s="198">
        <f t="shared" si="748"/>
        <v>0</v>
      </c>
      <c r="AC767" s="198">
        <f t="shared" si="748"/>
        <v>0</v>
      </c>
      <c r="AD767" s="198">
        <f t="shared" si="748"/>
        <v>0</v>
      </c>
      <c r="AE767" s="198">
        <f t="shared" si="748"/>
        <v>0</v>
      </c>
      <c r="AF767" s="198">
        <f t="shared" si="748"/>
        <v>0</v>
      </c>
      <c r="AG767" s="198">
        <f t="shared" si="748"/>
        <v>0</v>
      </c>
      <c r="AH767" s="198">
        <f t="shared" si="748"/>
        <v>0</v>
      </c>
      <c r="AI767" s="198">
        <f t="shared" si="748"/>
        <v>0</v>
      </c>
      <c r="AJ767" s="198">
        <f t="shared" si="748"/>
        <v>0</v>
      </c>
      <c r="AK767" s="198">
        <f t="shared" si="748"/>
        <v>0</v>
      </c>
      <c r="AL767" s="198">
        <f t="shared" si="748"/>
        <v>0</v>
      </c>
      <c r="AM767" s="198">
        <f t="shared" si="748"/>
        <v>0</v>
      </c>
    </row>
    <row r="768" spans="1:39">
      <c r="A768" s="100"/>
      <c r="B768" s="100"/>
      <c r="C768" s="100"/>
      <c r="D768" s="179"/>
      <c r="E768" s="165"/>
      <c r="F768" s="165"/>
      <c r="G768" s="165"/>
      <c r="H768" s="121"/>
      <c r="I768" s="165"/>
      <c r="J768" s="165"/>
      <c r="K768" s="197"/>
      <c r="L768" s="197"/>
      <c r="M768" s="477"/>
      <c r="N768" s="164"/>
      <c r="O768" s="164"/>
      <c r="P768" s="164"/>
      <c r="Q768" s="164"/>
      <c r="R768" s="164"/>
      <c r="S768" s="164"/>
      <c r="T768" s="164"/>
      <c r="U768" s="164"/>
      <c r="V768" s="164"/>
      <c r="W768" s="164"/>
      <c r="X768" s="164"/>
      <c r="Y768" s="164"/>
      <c r="Z768" s="164"/>
      <c r="AA768" s="164"/>
      <c r="AB768" s="164"/>
      <c r="AC768" s="164"/>
      <c r="AD768" s="164"/>
      <c r="AE768" s="164"/>
      <c r="AF768" s="164"/>
      <c r="AG768" s="164"/>
      <c r="AH768" s="164"/>
      <c r="AI768" s="164"/>
      <c r="AJ768" s="164"/>
      <c r="AK768" s="164"/>
      <c r="AL768" s="164"/>
      <c r="AM768" s="164"/>
    </row>
    <row r="769" spans="1:39">
      <c r="A769" s="100"/>
      <c r="B769" s="100"/>
      <c r="C769" s="100"/>
      <c r="D769" s="179"/>
      <c r="E769" s="165"/>
      <c r="F769" s="165"/>
      <c r="G769" s="206" t="s">
        <v>29</v>
      </c>
      <c r="H769" s="121"/>
      <c r="I769" s="165"/>
      <c r="J769" s="165"/>
      <c r="K769" s="204"/>
      <c r="L769" s="197"/>
      <c r="M769" s="477"/>
      <c r="N769" s="164"/>
      <c r="O769" s="164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  <c r="AG769" s="165"/>
      <c r="AH769" s="165"/>
      <c r="AI769" s="165"/>
      <c r="AJ769" s="165"/>
      <c r="AK769" s="165"/>
      <c r="AL769" s="165"/>
      <c r="AM769" s="165"/>
    </row>
    <row r="770" spans="1:39">
      <c r="A770" s="100"/>
      <c r="B770" s="100"/>
      <c r="C770" s="100"/>
      <c r="D770" s="179"/>
      <c r="E770" s="165"/>
      <c r="F770" s="165"/>
      <c r="G770" s="205"/>
      <c r="H770" s="121"/>
      <c r="I770" s="165"/>
      <c r="J770" s="165"/>
      <c r="K770" s="204"/>
      <c r="L770" s="197"/>
      <c r="M770" s="477"/>
      <c r="N770" s="164"/>
      <c r="O770" s="164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  <c r="AG770" s="165"/>
      <c r="AH770" s="165"/>
      <c r="AI770" s="165"/>
      <c r="AJ770" s="165"/>
      <c r="AK770" s="165"/>
      <c r="AL770" s="165"/>
      <c r="AM770" s="165"/>
    </row>
    <row r="771" spans="1:39">
      <c r="A771" s="100"/>
      <c r="B771" s="100"/>
      <c r="C771" s="100"/>
      <c r="D771" s="179" t="str">
        <f t="shared" ref="D771:D776" si="749">$G$581</f>
        <v>Software</v>
      </c>
      <c r="E771" s="165" t="str">
        <f>H686</f>
        <v>Terminal Domestic - Jet</v>
      </c>
      <c r="F771" s="165"/>
      <c r="G771" s="165" t="s">
        <v>80</v>
      </c>
      <c r="H771" s="121"/>
      <c r="I771" s="165"/>
      <c r="J771" s="165"/>
      <c r="K771" s="530">
        <f>K776</f>
        <v>0</v>
      </c>
      <c r="L771" s="530">
        <f>L776</f>
        <v>0</v>
      </c>
      <c r="M771" s="531"/>
      <c r="N771" s="164"/>
      <c r="O771" s="164">
        <f t="shared" ref="O771:Y771" si="750">N776</f>
        <v>2035.9662050619804</v>
      </c>
      <c r="P771" s="164">
        <f t="shared" si="750"/>
        <v>1526.9746537964852</v>
      </c>
      <c r="Q771" s="164">
        <f t="shared" si="750"/>
        <v>1017.9831025309901</v>
      </c>
      <c r="R771" s="164">
        <f t="shared" si="750"/>
        <v>508.99155126549499</v>
      </c>
      <c r="S771" s="164">
        <f t="shared" si="750"/>
        <v>0</v>
      </c>
      <c r="T771" s="164">
        <f t="shared" si="750"/>
        <v>0</v>
      </c>
      <c r="U771" s="164">
        <f t="shared" si="750"/>
        <v>0</v>
      </c>
      <c r="V771" s="164">
        <f t="shared" si="750"/>
        <v>0</v>
      </c>
      <c r="W771" s="164">
        <f t="shared" si="750"/>
        <v>0</v>
      </c>
      <c r="X771" s="164">
        <f t="shared" si="750"/>
        <v>0</v>
      </c>
      <c r="Y771" s="164">
        <f t="shared" si="750"/>
        <v>0</v>
      </c>
      <c r="Z771" s="164">
        <f t="shared" ref="Z771:AM771" si="751">Y776</f>
        <v>0</v>
      </c>
      <c r="AA771" s="164">
        <f t="shared" si="751"/>
        <v>0</v>
      </c>
      <c r="AB771" s="164">
        <f t="shared" si="751"/>
        <v>0</v>
      </c>
      <c r="AC771" s="164">
        <f t="shared" si="751"/>
        <v>0</v>
      </c>
      <c r="AD771" s="164">
        <f t="shared" si="751"/>
        <v>0</v>
      </c>
      <c r="AE771" s="164">
        <f t="shared" si="751"/>
        <v>0</v>
      </c>
      <c r="AF771" s="164">
        <f t="shared" si="751"/>
        <v>0</v>
      </c>
      <c r="AG771" s="164">
        <f t="shared" si="751"/>
        <v>0</v>
      </c>
      <c r="AH771" s="164">
        <f t="shared" si="751"/>
        <v>0</v>
      </c>
      <c r="AI771" s="164">
        <f t="shared" si="751"/>
        <v>0</v>
      </c>
      <c r="AJ771" s="164">
        <f t="shared" si="751"/>
        <v>0</v>
      </c>
      <c r="AK771" s="164">
        <f t="shared" si="751"/>
        <v>0</v>
      </c>
      <c r="AL771" s="164">
        <f t="shared" si="751"/>
        <v>0</v>
      </c>
      <c r="AM771" s="164">
        <f t="shared" si="751"/>
        <v>0</v>
      </c>
    </row>
    <row r="772" spans="1:39">
      <c r="A772" s="100"/>
      <c r="B772" s="100"/>
      <c r="C772" s="100"/>
      <c r="D772" s="179" t="str">
        <f t="shared" si="749"/>
        <v>Software</v>
      </c>
      <c r="E772" s="165" t="str">
        <f>H686</f>
        <v>Terminal Domestic - Jet</v>
      </c>
      <c r="F772" s="165"/>
      <c r="G772" s="165" t="s">
        <v>83</v>
      </c>
      <c r="H772" s="121"/>
      <c r="I772" s="165"/>
      <c r="J772" s="165"/>
      <c r="K772" s="532"/>
      <c r="L772" s="532"/>
      <c r="M772" s="533"/>
      <c r="N772" s="164"/>
      <c r="O772" s="164">
        <f t="shared" ref="O772:X772" si="752">SUMIFS(O$45:O$62,$J$45:$J$62,$G769,$K$45:$K$62,$G772)</f>
        <v>0</v>
      </c>
      <c r="P772" s="164">
        <f t="shared" si="752"/>
        <v>0</v>
      </c>
      <c r="Q772" s="164">
        <f t="shared" si="752"/>
        <v>0</v>
      </c>
      <c r="R772" s="164">
        <f t="shared" si="752"/>
        <v>0</v>
      </c>
      <c r="S772" s="164">
        <f t="shared" si="752"/>
        <v>0</v>
      </c>
      <c r="T772" s="164">
        <f t="shared" si="752"/>
        <v>0</v>
      </c>
      <c r="U772" s="164">
        <f t="shared" si="752"/>
        <v>0</v>
      </c>
      <c r="V772" s="164">
        <f t="shared" si="752"/>
        <v>0</v>
      </c>
      <c r="W772" s="164">
        <f t="shared" si="752"/>
        <v>0</v>
      </c>
      <c r="X772" s="164">
        <f t="shared" si="752"/>
        <v>0</v>
      </c>
      <c r="Y772" s="164">
        <f>SUMIFS(Y$45:Y$62,$J$45:$J$62,$G769,$K$45:$K$62,$G772)</f>
        <v>0</v>
      </c>
      <c r="Z772" s="164">
        <f t="shared" ref="Z772:AM772" si="753">SUMIFS(Z$45:Z$62,$J$45:$J$62,$G769,$K$45:$K$62,$G772)</f>
        <v>0</v>
      </c>
      <c r="AA772" s="164">
        <f t="shared" si="753"/>
        <v>0</v>
      </c>
      <c r="AB772" s="164">
        <f t="shared" si="753"/>
        <v>0</v>
      </c>
      <c r="AC772" s="164">
        <f t="shared" si="753"/>
        <v>0</v>
      </c>
      <c r="AD772" s="164">
        <f t="shared" si="753"/>
        <v>0</v>
      </c>
      <c r="AE772" s="164">
        <f t="shared" si="753"/>
        <v>0</v>
      </c>
      <c r="AF772" s="164">
        <f t="shared" si="753"/>
        <v>0</v>
      </c>
      <c r="AG772" s="164">
        <f t="shared" si="753"/>
        <v>0</v>
      </c>
      <c r="AH772" s="164">
        <f t="shared" si="753"/>
        <v>0</v>
      </c>
      <c r="AI772" s="164">
        <f t="shared" si="753"/>
        <v>0</v>
      </c>
      <c r="AJ772" s="164">
        <f t="shared" si="753"/>
        <v>0</v>
      </c>
      <c r="AK772" s="164">
        <f t="shared" si="753"/>
        <v>0</v>
      </c>
      <c r="AL772" s="164">
        <f t="shared" si="753"/>
        <v>0</v>
      </c>
      <c r="AM772" s="164">
        <f t="shared" si="753"/>
        <v>0</v>
      </c>
    </row>
    <row r="773" spans="1:39">
      <c r="A773" s="100"/>
      <c r="B773" s="100"/>
      <c r="C773" s="100"/>
      <c r="D773" s="179" t="str">
        <f t="shared" si="749"/>
        <v>Software</v>
      </c>
      <c r="E773" s="165" t="str">
        <f>H686</f>
        <v>Terminal Domestic - Jet</v>
      </c>
      <c r="F773" s="165"/>
      <c r="G773" s="165" t="s">
        <v>78</v>
      </c>
      <c r="H773" s="121"/>
      <c r="I773" s="165"/>
      <c r="J773" s="165"/>
      <c r="K773" s="197"/>
      <c r="L773" s="197"/>
      <c r="M773" s="477"/>
      <c r="N773" s="164"/>
      <c r="O773" s="164">
        <f t="shared" ref="O773:X773" si="754">O390+SUMIFS(O$45:O$62,$J$45:$J$62,$G769,$K$45:$K$62,$G773)</f>
        <v>508.9915512654951</v>
      </c>
      <c r="P773" s="164">
        <f t="shared" si="754"/>
        <v>508.9915512654951</v>
      </c>
      <c r="Q773" s="164">
        <f t="shared" si="754"/>
        <v>508.9915512654951</v>
      </c>
      <c r="R773" s="164">
        <f t="shared" si="754"/>
        <v>508.9915512654951</v>
      </c>
      <c r="S773" s="164">
        <f t="shared" si="754"/>
        <v>0</v>
      </c>
      <c r="T773" s="164">
        <f t="shared" si="754"/>
        <v>0</v>
      </c>
      <c r="U773" s="164">
        <f t="shared" si="754"/>
        <v>0</v>
      </c>
      <c r="V773" s="164">
        <f t="shared" si="754"/>
        <v>0</v>
      </c>
      <c r="W773" s="164">
        <f t="shared" si="754"/>
        <v>0</v>
      </c>
      <c r="X773" s="164">
        <f t="shared" si="754"/>
        <v>0</v>
      </c>
      <c r="Y773" s="164">
        <f>Y390+SUMIFS(Y$45:Y$62,$J$45:$J$62,$G769,$K$45:$K$62,$G773)</f>
        <v>0</v>
      </c>
      <c r="Z773" s="164">
        <f t="shared" ref="Z773:AM773" si="755">Z390+SUMIFS(Z$45:Z$62,$J$45:$J$62,$G769,$K$45:$K$62,$G773)</f>
        <v>0</v>
      </c>
      <c r="AA773" s="164">
        <f t="shared" si="755"/>
        <v>0</v>
      </c>
      <c r="AB773" s="164">
        <f t="shared" si="755"/>
        <v>0</v>
      </c>
      <c r="AC773" s="164">
        <f t="shared" si="755"/>
        <v>0</v>
      </c>
      <c r="AD773" s="164">
        <f t="shared" si="755"/>
        <v>0</v>
      </c>
      <c r="AE773" s="164">
        <f t="shared" si="755"/>
        <v>0</v>
      </c>
      <c r="AF773" s="164">
        <f t="shared" si="755"/>
        <v>0</v>
      </c>
      <c r="AG773" s="164">
        <f t="shared" si="755"/>
        <v>0</v>
      </c>
      <c r="AH773" s="164">
        <f t="shared" si="755"/>
        <v>0</v>
      </c>
      <c r="AI773" s="164">
        <f t="shared" si="755"/>
        <v>0</v>
      </c>
      <c r="AJ773" s="164">
        <f t="shared" si="755"/>
        <v>0</v>
      </c>
      <c r="AK773" s="164">
        <f t="shared" si="755"/>
        <v>0</v>
      </c>
      <c r="AL773" s="164">
        <f t="shared" si="755"/>
        <v>0</v>
      </c>
      <c r="AM773" s="164">
        <f t="shared" si="755"/>
        <v>0</v>
      </c>
    </row>
    <row r="774" spans="1:39">
      <c r="A774" s="100"/>
      <c r="B774" s="100"/>
      <c r="C774" s="100"/>
      <c r="D774" s="179" t="str">
        <f t="shared" si="749"/>
        <v>Software</v>
      </c>
      <c r="E774" s="165" t="str">
        <f>H686</f>
        <v>Terminal Domestic - Jet</v>
      </c>
      <c r="F774" s="165"/>
      <c r="G774" s="165" t="s">
        <v>88</v>
      </c>
      <c r="H774" s="121"/>
      <c r="I774" s="165"/>
      <c r="J774" s="165"/>
      <c r="K774" s="197"/>
      <c r="L774" s="197"/>
      <c r="M774" s="477"/>
      <c r="N774" s="230"/>
      <c r="O774" s="230"/>
      <c r="P774" s="230"/>
      <c r="Q774" s="230"/>
      <c r="R774" s="230"/>
      <c r="S774" s="230"/>
      <c r="T774" s="230"/>
      <c r="U774" s="230"/>
      <c r="V774" s="230"/>
      <c r="W774" s="230"/>
      <c r="X774" s="230"/>
      <c r="Y774" s="230"/>
      <c r="Z774" s="230"/>
      <c r="AA774" s="230"/>
      <c r="AB774" s="230"/>
      <c r="AC774" s="230"/>
      <c r="AD774" s="230"/>
      <c r="AE774" s="230"/>
      <c r="AF774" s="230"/>
      <c r="AG774" s="230"/>
      <c r="AH774" s="230"/>
      <c r="AI774" s="230"/>
      <c r="AJ774" s="230"/>
      <c r="AK774" s="230"/>
      <c r="AL774" s="230"/>
      <c r="AM774" s="230"/>
    </row>
    <row r="775" spans="1:39">
      <c r="A775" s="100"/>
      <c r="B775" s="100"/>
      <c r="C775" s="100"/>
      <c r="D775" s="179" t="str">
        <f t="shared" si="749"/>
        <v>Software</v>
      </c>
      <c r="E775" s="165" t="str">
        <f>H686</f>
        <v>Terminal Domestic - Jet</v>
      </c>
      <c r="F775" s="165"/>
      <c r="G775" s="165" t="s">
        <v>87</v>
      </c>
      <c r="H775" s="121"/>
      <c r="I775" s="165"/>
      <c r="J775" s="165"/>
      <c r="K775" s="197"/>
      <c r="L775" s="197"/>
      <c r="M775" s="477"/>
      <c r="N775" s="164"/>
      <c r="O775" s="164">
        <f t="shared" ref="O775:X775" si="756">IF(N771&gt;0,N773/AVERAGE(N771,N776)*O774,0)</f>
        <v>0</v>
      </c>
      <c r="P775" s="164">
        <f t="shared" si="756"/>
        <v>0</v>
      </c>
      <c r="Q775" s="164">
        <f t="shared" si="756"/>
        <v>0</v>
      </c>
      <c r="R775" s="164">
        <f t="shared" si="756"/>
        <v>0</v>
      </c>
      <c r="S775" s="164">
        <f t="shared" si="756"/>
        <v>0</v>
      </c>
      <c r="T775" s="164">
        <f t="shared" si="756"/>
        <v>0</v>
      </c>
      <c r="U775" s="164">
        <f t="shared" si="756"/>
        <v>0</v>
      </c>
      <c r="V775" s="164">
        <f t="shared" si="756"/>
        <v>0</v>
      </c>
      <c r="W775" s="164">
        <f t="shared" si="756"/>
        <v>0</v>
      </c>
      <c r="X775" s="164">
        <f t="shared" si="756"/>
        <v>0</v>
      </c>
      <c r="Y775" s="164">
        <f t="shared" ref="Y775:AM775" si="757">IF(X771&gt;0,X773/AVERAGE(X771,X776)*Y774,0)</f>
        <v>0</v>
      </c>
      <c r="Z775" s="164">
        <f t="shared" si="757"/>
        <v>0</v>
      </c>
      <c r="AA775" s="164">
        <f t="shared" si="757"/>
        <v>0</v>
      </c>
      <c r="AB775" s="164">
        <f t="shared" si="757"/>
        <v>0</v>
      </c>
      <c r="AC775" s="164">
        <f t="shared" si="757"/>
        <v>0</v>
      </c>
      <c r="AD775" s="164">
        <f t="shared" si="757"/>
        <v>0</v>
      </c>
      <c r="AE775" s="164">
        <f t="shared" si="757"/>
        <v>0</v>
      </c>
      <c r="AF775" s="164">
        <f t="shared" si="757"/>
        <v>0</v>
      </c>
      <c r="AG775" s="164">
        <f t="shared" si="757"/>
        <v>0</v>
      </c>
      <c r="AH775" s="164">
        <f t="shared" si="757"/>
        <v>0</v>
      </c>
      <c r="AI775" s="164">
        <f t="shared" si="757"/>
        <v>0</v>
      </c>
      <c r="AJ775" s="164">
        <f t="shared" si="757"/>
        <v>0</v>
      </c>
      <c r="AK775" s="164">
        <f t="shared" si="757"/>
        <v>0</v>
      </c>
      <c r="AL775" s="164">
        <f t="shared" si="757"/>
        <v>0</v>
      </c>
      <c r="AM775" s="164">
        <f t="shared" si="757"/>
        <v>0</v>
      </c>
    </row>
    <row r="776" spans="1:39">
      <c r="A776" s="100"/>
      <c r="B776" s="100"/>
      <c r="C776" s="100"/>
      <c r="D776" s="179" t="str">
        <f t="shared" si="749"/>
        <v>Software</v>
      </c>
      <c r="E776" s="165" t="str">
        <f>H686</f>
        <v>Terminal Domestic - Jet</v>
      </c>
      <c r="F776" s="165"/>
      <c r="G776" s="200" t="s">
        <v>76</v>
      </c>
      <c r="H776" s="201"/>
      <c r="I776" s="200"/>
      <c r="J776" s="200"/>
      <c r="K776" s="199">
        <f>K392</f>
        <v>0</v>
      </c>
      <c r="L776" s="199">
        <f>L392</f>
        <v>0</v>
      </c>
      <c r="M776" s="527">
        <f>M392</f>
        <v>0</v>
      </c>
      <c r="N776" s="198">
        <f>N392</f>
        <v>2035.9662050619804</v>
      </c>
      <c r="O776" s="198">
        <f t="shared" ref="O776:AM776" si="758">SUM(O771:O772,O774)-SUM(O773,O775)</f>
        <v>1526.9746537964852</v>
      </c>
      <c r="P776" s="198">
        <f t="shared" si="758"/>
        <v>1017.9831025309901</v>
      </c>
      <c r="Q776" s="198">
        <f t="shared" si="758"/>
        <v>508.99155126549499</v>
      </c>
      <c r="R776" s="198">
        <f t="shared" si="758"/>
        <v>0</v>
      </c>
      <c r="S776" s="198">
        <f t="shared" si="758"/>
        <v>0</v>
      </c>
      <c r="T776" s="198">
        <f t="shared" si="758"/>
        <v>0</v>
      </c>
      <c r="U776" s="198">
        <f t="shared" si="758"/>
        <v>0</v>
      </c>
      <c r="V776" s="198">
        <f t="shared" si="758"/>
        <v>0</v>
      </c>
      <c r="W776" s="198">
        <f t="shared" si="758"/>
        <v>0</v>
      </c>
      <c r="X776" s="198">
        <f t="shared" si="758"/>
        <v>0</v>
      </c>
      <c r="Y776" s="198">
        <f t="shared" si="758"/>
        <v>0</v>
      </c>
      <c r="Z776" s="198">
        <f t="shared" si="758"/>
        <v>0</v>
      </c>
      <c r="AA776" s="198">
        <f t="shared" si="758"/>
        <v>0</v>
      </c>
      <c r="AB776" s="198">
        <f t="shared" si="758"/>
        <v>0</v>
      </c>
      <c r="AC776" s="198">
        <f t="shared" si="758"/>
        <v>0</v>
      </c>
      <c r="AD776" s="198">
        <f t="shared" si="758"/>
        <v>0</v>
      </c>
      <c r="AE776" s="198">
        <f t="shared" si="758"/>
        <v>0</v>
      </c>
      <c r="AF776" s="198">
        <f t="shared" si="758"/>
        <v>0</v>
      </c>
      <c r="AG776" s="198">
        <f t="shared" si="758"/>
        <v>0</v>
      </c>
      <c r="AH776" s="198">
        <f t="shared" si="758"/>
        <v>0</v>
      </c>
      <c r="AI776" s="198">
        <f t="shared" si="758"/>
        <v>0</v>
      </c>
      <c r="AJ776" s="198">
        <f t="shared" si="758"/>
        <v>0</v>
      </c>
      <c r="AK776" s="198">
        <f t="shared" si="758"/>
        <v>0</v>
      </c>
      <c r="AL776" s="198">
        <f t="shared" si="758"/>
        <v>0</v>
      </c>
      <c r="AM776" s="198">
        <f t="shared" si="758"/>
        <v>0</v>
      </c>
    </row>
    <row r="777" spans="1:39">
      <c r="A777" s="100"/>
      <c r="B777" s="100"/>
      <c r="C777" s="100"/>
      <c r="D777" s="179"/>
      <c r="E777" s="165"/>
      <c r="F777" s="165"/>
      <c r="G777" s="165"/>
      <c r="H777" s="121"/>
      <c r="I777" s="165"/>
      <c r="J777" s="165"/>
      <c r="K777" s="197"/>
      <c r="L777" s="197"/>
      <c r="M777" s="477"/>
      <c r="N777" s="164"/>
      <c r="O777" s="164"/>
      <c r="P777" s="164"/>
      <c r="Q777" s="164"/>
      <c r="R777" s="164"/>
      <c r="S777" s="164"/>
      <c r="T777" s="164"/>
      <c r="U777" s="164"/>
      <c r="V777" s="164"/>
      <c r="W777" s="164"/>
      <c r="X777" s="164"/>
      <c r="Y777" s="164"/>
      <c r="Z777" s="164"/>
      <c r="AA777" s="164"/>
      <c r="AB777" s="164"/>
      <c r="AC777" s="164"/>
      <c r="AD777" s="164"/>
      <c r="AE777" s="164"/>
      <c r="AF777" s="164"/>
      <c r="AG777" s="164"/>
      <c r="AH777" s="164"/>
      <c r="AI777" s="164"/>
      <c r="AJ777" s="164"/>
      <c r="AK777" s="164"/>
      <c r="AL777" s="164"/>
      <c r="AM777" s="164"/>
    </row>
    <row r="778" spans="1:39">
      <c r="A778" s="100"/>
      <c r="B778" s="100"/>
      <c r="C778" s="100"/>
      <c r="D778" s="179"/>
      <c r="E778" s="165"/>
      <c r="F778" s="165"/>
      <c r="G778" s="232"/>
      <c r="H778" s="231"/>
      <c r="I778" s="231"/>
      <c r="J778" s="165"/>
      <c r="K778" s="48"/>
      <c r="L778" s="48"/>
      <c r="M778" s="208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  <c r="AA778" s="165"/>
      <c r="AB778" s="165"/>
      <c r="AC778" s="165"/>
      <c r="AD778" s="165"/>
      <c r="AE778" s="165"/>
      <c r="AF778" s="165"/>
      <c r="AG778" s="165"/>
      <c r="AH778" s="165"/>
      <c r="AI778" s="165"/>
      <c r="AJ778" s="165"/>
      <c r="AK778" s="165"/>
      <c r="AL778" s="165"/>
      <c r="AM778" s="165"/>
    </row>
    <row r="779" spans="1:39" ht="15.75">
      <c r="A779" s="100"/>
      <c r="B779" s="100"/>
      <c r="C779" s="100"/>
      <c r="D779" s="179"/>
      <c r="E779" s="165"/>
      <c r="F779" s="165"/>
      <c r="G779" s="89" t="s">
        <v>81</v>
      </c>
      <c r="H779" s="212" t="s">
        <v>7</v>
      </c>
      <c r="I779" s="211"/>
      <c r="J779" s="210"/>
      <c r="K779" s="197"/>
      <c r="L779" s="197"/>
      <c r="M779" s="477"/>
      <c r="N779" s="164"/>
      <c r="O779" s="164"/>
      <c r="P779" s="164"/>
      <c r="Q779" s="164"/>
      <c r="R779" s="164"/>
      <c r="S779" s="164"/>
      <c r="T779" s="164"/>
      <c r="U779" s="164"/>
      <c r="V779" s="164"/>
      <c r="W779" s="164"/>
      <c r="X779" s="164"/>
      <c r="Y779" s="164"/>
      <c r="Z779" s="164"/>
      <c r="AA779" s="164"/>
      <c r="AB779" s="164"/>
      <c r="AC779" s="164"/>
      <c r="AD779" s="164"/>
      <c r="AE779" s="164"/>
      <c r="AF779" s="164"/>
      <c r="AG779" s="164"/>
      <c r="AH779" s="164"/>
      <c r="AI779" s="164"/>
      <c r="AJ779" s="164"/>
      <c r="AK779" s="164"/>
      <c r="AL779" s="164"/>
      <c r="AM779" s="164"/>
    </row>
    <row r="780" spans="1:39">
      <c r="A780" s="100"/>
      <c r="B780" s="100"/>
      <c r="C780" s="100"/>
      <c r="D780" s="179"/>
      <c r="E780" s="165"/>
      <c r="F780" s="165"/>
      <c r="G780" s="209"/>
      <c r="H780" s="121"/>
      <c r="I780" s="165"/>
      <c r="J780" s="165"/>
      <c r="K780" s="204"/>
      <c r="L780" s="48"/>
      <c r="M780" s="208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  <c r="AG780" s="165"/>
      <c r="AH780" s="165"/>
      <c r="AI780" s="165"/>
      <c r="AJ780" s="165"/>
      <c r="AK780" s="165"/>
      <c r="AL780" s="165"/>
      <c r="AM780" s="165"/>
    </row>
    <row r="781" spans="1:39">
      <c r="A781" s="100"/>
      <c r="B781" s="100"/>
      <c r="C781" s="100"/>
      <c r="D781" s="179"/>
      <c r="E781" s="165"/>
      <c r="F781" s="165"/>
      <c r="G781" s="206" t="s">
        <v>38</v>
      </c>
      <c r="H781" s="121"/>
      <c r="I781" s="165"/>
      <c r="J781" s="165"/>
      <c r="K781" s="204"/>
      <c r="L781" s="48"/>
      <c r="M781" s="208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</row>
    <row r="782" spans="1:39">
      <c r="A782" s="100"/>
      <c r="B782" s="100"/>
      <c r="C782" s="100"/>
      <c r="D782" s="179"/>
      <c r="E782" s="165"/>
      <c r="F782" s="165"/>
      <c r="G782" s="165"/>
      <c r="H782" s="121"/>
      <c r="I782" s="165"/>
      <c r="J782" s="165"/>
      <c r="K782" s="204"/>
      <c r="L782" s="48"/>
      <c r="M782" s="208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</row>
    <row r="783" spans="1:39">
      <c r="A783" s="100"/>
      <c r="B783" s="100"/>
      <c r="C783" s="100"/>
      <c r="D783" s="179" t="str">
        <f t="shared" ref="D783:D788" si="759">$G$500</f>
        <v>Land</v>
      </c>
      <c r="E783" s="165" t="str">
        <f>H779</f>
        <v>Terminal Domestic - Turbo Prop</v>
      </c>
      <c r="F783" s="165"/>
      <c r="G783" s="165" t="s">
        <v>80</v>
      </c>
      <c r="H783" s="121"/>
      <c r="I783" s="165"/>
      <c r="J783" s="165"/>
      <c r="K783" s="530">
        <f>K788</f>
        <v>0</v>
      </c>
      <c r="L783" s="530">
        <f>L788</f>
        <v>0</v>
      </c>
      <c r="M783" s="531"/>
      <c r="N783" s="164"/>
      <c r="O783" s="164">
        <f t="shared" ref="O783:Y783" si="760">N788</f>
        <v>21287</v>
      </c>
      <c r="P783" s="164">
        <f t="shared" si="760"/>
        <v>21734.027000000002</v>
      </c>
      <c r="Q783" s="164">
        <f t="shared" si="760"/>
        <v>22190.441567000002</v>
      </c>
      <c r="R783" s="164">
        <f t="shared" si="760"/>
        <v>22656.440839907002</v>
      </c>
      <c r="S783" s="164">
        <f t="shared" si="760"/>
        <v>23132.226097545048</v>
      </c>
      <c r="T783" s="164">
        <f t="shared" si="760"/>
        <v>23618.002845593495</v>
      </c>
      <c r="U783" s="164">
        <f t="shared" si="760"/>
        <v>24208.452916733331</v>
      </c>
      <c r="V783" s="164">
        <f t="shared" si="760"/>
        <v>24813.664239651665</v>
      </c>
      <c r="W783" s="164">
        <f t="shared" si="760"/>
        <v>25434.005845642958</v>
      </c>
      <c r="X783" s="164">
        <f t="shared" si="760"/>
        <v>26069.855991784032</v>
      </c>
      <c r="Y783" s="164">
        <f t="shared" si="760"/>
        <v>26721.602391578632</v>
      </c>
      <c r="Z783" s="164">
        <f t="shared" ref="Z783:AM783" si="761">Y788</f>
        <v>27389.642451368098</v>
      </c>
      <c r="AA783" s="164">
        <f t="shared" si="761"/>
        <v>28074.383512652301</v>
      </c>
      <c r="AB783" s="164">
        <f t="shared" si="761"/>
        <v>28776.243100468608</v>
      </c>
      <c r="AC783" s="164">
        <f t="shared" si="761"/>
        <v>29495.649177980322</v>
      </c>
      <c r="AD783" s="164">
        <f t="shared" si="761"/>
        <v>30233.040407429831</v>
      </c>
      <c r="AE783" s="164">
        <f t="shared" si="761"/>
        <v>30988.866417615576</v>
      </c>
      <c r="AF783" s="164">
        <f t="shared" si="761"/>
        <v>31763.588078055967</v>
      </c>
      <c r="AG783" s="164">
        <f t="shared" si="761"/>
        <v>32557.677780007365</v>
      </c>
      <c r="AH783" s="164">
        <f t="shared" si="761"/>
        <v>33371.619724507553</v>
      </c>
      <c r="AI783" s="164">
        <f t="shared" si="761"/>
        <v>34205.910217620243</v>
      </c>
      <c r="AJ783" s="164">
        <f t="shared" si="761"/>
        <v>35061.05797306075</v>
      </c>
      <c r="AK783" s="164">
        <f t="shared" si="761"/>
        <v>35937.58442238727</v>
      </c>
      <c r="AL783" s="164">
        <f t="shared" si="761"/>
        <v>35937.58442238727</v>
      </c>
      <c r="AM783" s="164">
        <f t="shared" si="761"/>
        <v>35937.58442238727</v>
      </c>
    </row>
    <row r="784" spans="1:39">
      <c r="A784" s="100"/>
      <c r="B784" s="100"/>
      <c r="C784" s="100"/>
      <c r="D784" s="179" t="str">
        <f t="shared" si="759"/>
        <v>Land</v>
      </c>
      <c r="E784" s="165" t="str">
        <f>H779</f>
        <v>Terminal Domestic - Turbo Prop</v>
      </c>
      <c r="F784" s="165"/>
      <c r="G784" s="165" t="s">
        <v>83</v>
      </c>
      <c r="H784" s="121"/>
      <c r="I784" s="165"/>
      <c r="J784" s="165"/>
      <c r="K784" s="532">
        <v>0</v>
      </c>
      <c r="L784" s="532"/>
      <c r="M784" s="533"/>
      <c r="N784" s="164"/>
      <c r="O784" s="164">
        <f t="shared" ref="O784:X784" si="762">SUMIFS(O$63:O$80,$J$63:$J$80,$G781,$K$63:$K$80,$G784)</f>
        <v>0</v>
      </c>
      <c r="P784" s="164">
        <f t="shared" si="762"/>
        <v>0</v>
      </c>
      <c r="Q784" s="164">
        <f t="shared" si="762"/>
        <v>0</v>
      </c>
      <c r="R784" s="164">
        <f t="shared" si="762"/>
        <v>0</v>
      </c>
      <c r="S784" s="164">
        <f t="shared" si="762"/>
        <v>0</v>
      </c>
      <c r="T784" s="164">
        <f t="shared" si="762"/>
        <v>0</v>
      </c>
      <c r="U784" s="164">
        <f t="shared" si="762"/>
        <v>0</v>
      </c>
      <c r="V784" s="164">
        <f t="shared" si="762"/>
        <v>0</v>
      </c>
      <c r="W784" s="164">
        <f t="shared" si="762"/>
        <v>0</v>
      </c>
      <c r="X784" s="164">
        <f t="shared" si="762"/>
        <v>0</v>
      </c>
      <c r="Y784" s="164">
        <f>SUMIFS(Y$63:Y$80,$J$63:$J$80,$G781,$K$63:$K$80,$G784)</f>
        <v>0</v>
      </c>
      <c r="Z784" s="164">
        <f t="shared" ref="Z784:AM784" si="763">SUMIFS(Z$63:Z$80,$J$63:$J$80,$G781,$K$63:$K$80,$G784)</f>
        <v>0</v>
      </c>
      <c r="AA784" s="164">
        <f t="shared" si="763"/>
        <v>0</v>
      </c>
      <c r="AB784" s="164">
        <f t="shared" si="763"/>
        <v>0</v>
      </c>
      <c r="AC784" s="164">
        <f t="shared" si="763"/>
        <v>0</v>
      </c>
      <c r="AD784" s="164">
        <f t="shared" si="763"/>
        <v>0</v>
      </c>
      <c r="AE784" s="164">
        <f t="shared" si="763"/>
        <v>0</v>
      </c>
      <c r="AF784" s="164">
        <f t="shared" si="763"/>
        <v>0</v>
      </c>
      <c r="AG784" s="164">
        <f t="shared" si="763"/>
        <v>0</v>
      </c>
      <c r="AH784" s="164">
        <f t="shared" si="763"/>
        <v>0</v>
      </c>
      <c r="AI784" s="164">
        <f t="shared" si="763"/>
        <v>0</v>
      </c>
      <c r="AJ784" s="164">
        <f t="shared" si="763"/>
        <v>0</v>
      </c>
      <c r="AK784" s="164">
        <f t="shared" si="763"/>
        <v>0</v>
      </c>
      <c r="AL784" s="164">
        <f t="shared" si="763"/>
        <v>0</v>
      </c>
      <c r="AM784" s="164">
        <f t="shared" si="763"/>
        <v>0</v>
      </c>
    </row>
    <row r="785" spans="1:39">
      <c r="A785" s="100"/>
      <c r="B785" s="100"/>
      <c r="C785" s="100"/>
      <c r="D785" s="179" t="str">
        <f t="shared" si="759"/>
        <v>Land</v>
      </c>
      <c r="E785" s="165" t="str">
        <f>H779</f>
        <v>Terminal Domestic - Turbo Prop</v>
      </c>
      <c r="F785" s="165"/>
      <c r="G785" s="165" t="s">
        <v>78</v>
      </c>
      <c r="H785" s="121"/>
      <c r="I785" s="165"/>
      <c r="J785" s="165"/>
      <c r="K785" s="197"/>
      <c r="L785" s="197"/>
      <c r="M785" s="477"/>
      <c r="N785" s="164"/>
      <c r="O785" s="164">
        <f t="shared" ref="O785:X785" si="764">O404+SUMIFS(O$63:O$80,$J$63:$J$80,$G781,$K$63:$K$80,$G785)</f>
        <v>0</v>
      </c>
      <c r="P785" s="164">
        <f t="shared" si="764"/>
        <v>0</v>
      </c>
      <c r="Q785" s="164">
        <f t="shared" si="764"/>
        <v>0</v>
      </c>
      <c r="R785" s="164">
        <f t="shared" si="764"/>
        <v>0</v>
      </c>
      <c r="S785" s="164">
        <f t="shared" si="764"/>
        <v>0</v>
      </c>
      <c r="T785" s="164">
        <f t="shared" si="764"/>
        <v>0</v>
      </c>
      <c r="U785" s="164">
        <f t="shared" si="764"/>
        <v>0</v>
      </c>
      <c r="V785" s="164">
        <f t="shared" si="764"/>
        <v>0</v>
      </c>
      <c r="W785" s="164">
        <f t="shared" si="764"/>
        <v>0</v>
      </c>
      <c r="X785" s="164">
        <f t="shared" si="764"/>
        <v>0</v>
      </c>
      <c r="Y785" s="164">
        <f>Y404+SUMIFS(Y$63:Y$80,$J$63:$J$80,$G781,$K$63:$K$80,$G785)</f>
        <v>0</v>
      </c>
      <c r="Z785" s="164">
        <f t="shared" ref="Z785:AM785" si="765">Z404+SUMIFS(Z$63:Z$80,$J$63:$J$80,$G781,$K$63:$K$80,$G785)</f>
        <v>0</v>
      </c>
      <c r="AA785" s="164">
        <f t="shared" si="765"/>
        <v>0</v>
      </c>
      <c r="AB785" s="164">
        <f t="shared" si="765"/>
        <v>0</v>
      </c>
      <c r="AC785" s="164">
        <f t="shared" si="765"/>
        <v>0</v>
      </c>
      <c r="AD785" s="164">
        <f t="shared" si="765"/>
        <v>0</v>
      </c>
      <c r="AE785" s="164">
        <f t="shared" si="765"/>
        <v>0</v>
      </c>
      <c r="AF785" s="164">
        <f t="shared" si="765"/>
        <v>0</v>
      </c>
      <c r="AG785" s="164">
        <f t="shared" si="765"/>
        <v>0</v>
      </c>
      <c r="AH785" s="164">
        <f t="shared" si="765"/>
        <v>0</v>
      </c>
      <c r="AI785" s="164">
        <f t="shared" si="765"/>
        <v>0</v>
      </c>
      <c r="AJ785" s="164">
        <f t="shared" si="765"/>
        <v>0</v>
      </c>
      <c r="AK785" s="164">
        <f t="shared" si="765"/>
        <v>0</v>
      </c>
      <c r="AL785" s="164">
        <f t="shared" si="765"/>
        <v>0</v>
      </c>
      <c r="AM785" s="164">
        <f t="shared" si="765"/>
        <v>0</v>
      </c>
    </row>
    <row r="786" spans="1:39">
      <c r="A786" s="100"/>
      <c r="B786" s="100"/>
      <c r="C786" s="100"/>
      <c r="D786" s="179" t="str">
        <f t="shared" si="759"/>
        <v>Land</v>
      </c>
      <c r="E786" s="165" t="str">
        <f>H779</f>
        <v>Terminal Domestic - Turbo Prop</v>
      </c>
      <c r="F786" s="165"/>
      <c r="G786" s="165" t="s">
        <v>88</v>
      </c>
      <c r="H786" s="121"/>
      <c r="I786" s="165"/>
      <c r="J786" s="165"/>
      <c r="K786" s="197"/>
      <c r="L786" s="197"/>
      <c r="M786" s="477"/>
      <c r="N786" s="230"/>
      <c r="O786" s="230">
        <f>N788*'Volume &amp; CPI forecast'!O$13</f>
        <v>447.02700000000004</v>
      </c>
      <c r="P786" s="230">
        <f>O788*'Volume &amp; CPI forecast'!P$13</f>
        <v>456.41456700000009</v>
      </c>
      <c r="Q786" s="230">
        <f>P788*'Volume &amp; CPI forecast'!Q$13</f>
        <v>465.99927290700009</v>
      </c>
      <c r="R786" s="230">
        <f>Q788*'Volume &amp; CPI forecast'!R$13</f>
        <v>475.78525763804709</v>
      </c>
      <c r="S786" s="230">
        <f>R788*'Volume &amp; CPI forecast'!S$13</f>
        <v>485.77674804844605</v>
      </c>
      <c r="T786" s="230">
        <f>S788*'Volume &amp; CPI forecast'!T$13</f>
        <v>590.45007113983741</v>
      </c>
      <c r="U786" s="230">
        <f>T788*'Volume &amp; CPI forecast'!U$13</f>
        <v>605.21132291833328</v>
      </c>
      <c r="V786" s="230">
        <f>U788*'Volume &amp; CPI forecast'!V$13</f>
        <v>620.34160599129166</v>
      </c>
      <c r="W786" s="230">
        <f>V788*'Volume &amp; CPI forecast'!W$13</f>
        <v>635.85014614107399</v>
      </c>
      <c r="X786" s="230">
        <f>W788*'Volume &amp; CPI forecast'!X$13</f>
        <v>651.74639979460085</v>
      </c>
      <c r="Y786" s="230">
        <f>X788*'Volume &amp; CPI forecast'!Y$13</f>
        <v>668.04005978946589</v>
      </c>
      <c r="Z786" s="230">
        <f>Y788*'Volume &amp; CPI forecast'!Z$13</f>
        <v>684.74106128420249</v>
      </c>
      <c r="AA786" s="230">
        <f>Z788*'Volume &amp; CPI forecast'!AA$13</f>
        <v>701.85958781630757</v>
      </c>
      <c r="AB786" s="230">
        <f>AA788*'Volume &amp; CPI forecast'!AB$13</f>
        <v>719.40607751171524</v>
      </c>
      <c r="AC786" s="230">
        <f>AB788*'Volume &amp; CPI forecast'!AC$13</f>
        <v>737.39122944950805</v>
      </c>
      <c r="AD786" s="230">
        <f>AC788*'Volume &amp; CPI forecast'!AD$13</f>
        <v>755.82601018574587</v>
      </c>
      <c r="AE786" s="230">
        <f>AD788*'Volume &amp; CPI forecast'!AE$13</f>
        <v>774.72166044038943</v>
      </c>
      <c r="AF786" s="230">
        <f>AE788*'Volume &amp; CPI forecast'!AF$13</f>
        <v>794.08970195139921</v>
      </c>
      <c r="AG786" s="230">
        <f>AF788*'Volume &amp; CPI forecast'!AG$13</f>
        <v>813.94194450018415</v>
      </c>
      <c r="AH786" s="230">
        <f>AG788*'Volume &amp; CPI forecast'!AH$13</f>
        <v>834.29049311268886</v>
      </c>
      <c r="AI786" s="230">
        <f>AH788*'Volume &amp; CPI forecast'!AI$13</f>
        <v>855.1477554405061</v>
      </c>
      <c r="AJ786" s="230">
        <f>AI788*'Volume &amp; CPI forecast'!AJ$13</f>
        <v>876.52644932651879</v>
      </c>
      <c r="AK786" s="230">
        <f>AJ788*'Volume &amp; CPI forecast'!AK$13</f>
        <v>0</v>
      </c>
      <c r="AL786" s="230">
        <f>AK788*'Volume &amp; CPI forecast'!AL$13</f>
        <v>0</v>
      </c>
      <c r="AM786" s="230">
        <f>AL788*'Volume &amp; CPI forecast'!AM$13</f>
        <v>0</v>
      </c>
    </row>
    <row r="787" spans="1:39">
      <c r="A787" s="100"/>
      <c r="B787" s="100"/>
      <c r="C787" s="100"/>
      <c r="D787" s="179" t="str">
        <f t="shared" si="759"/>
        <v>Land</v>
      </c>
      <c r="E787" s="165" t="str">
        <f>H779</f>
        <v>Terminal Domestic - Turbo Prop</v>
      </c>
      <c r="F787" s="165"/>
      <c r="G787" s="165" t="s">
        <v>87</v>
      </c>
      <c r="H787" s="121"/>
      <c r="I787" s="165"/>
      <c r="J787" s="165"/>
      <c r="K787" s="197"/>
      <c r="L787" s="197"/>
      <c r="M787" s="477"/>
      <c r="N787" s="164"/>
      <c r="O787" s="164">
        <f t="shared" ref="O787:X787" si="766">IF(N783&gt;0,N785/AVERAGE(N783,N788)*O786,0)</f>
        <v>0</v>
      </c>
      <c r="P787" s="164">
        <f t="shared" si="766"/>
        <v>0</v>
      </c>
      <c r="Q787" s="164">
        <f t="shared" si="766"/>
        <v>0</v>
      </c>
      <c r="R787" s="164">
        <f t="shared" si="766"/>
        <v>0</v>
      </c>
      <c r="S787" s="164">
        <f t="shared" si="766"/>
        <v>0</v>
      </c>
      <c r="T787" s="164">
        <f t="shared" si="766"/>
        <v>0</v>
      </c>
      <c r="U787" s="164">
        <f t="shared" si="766"/>
        <v>0</v>
      </c>
      <c r="V787" s="164">
        <f t="shared" si="766"/>
        <v>0</v>
      </c>
      <c r="W787" s="164">
        <f t="shared" si="766"/>
        <v>0</v>
      </c>
      <c r="X787" s="164">
        <f t="shared" si="766"/>
        <v>0</v>
      </c>
      <c r="Y787" s="164">
        <f t="shared" ref="Y787:AM787" si="767">IF(X783&gt;0,X785/AVERAGE(X783,X788)*Y786,0)</f>
        <v>0</v>
      </c>
      <c r="Z787" s="164">
        <f t="shared" si="767"/>
        <v>0</v>
      </c>
      <c r="AA787" s="164">
        <f t="shared" si="767"/>
        <v>0</v>
      </c>
      <c r="AB787" s="164">
        <f t="shared" si="767"/>
        <v>0</v>
      </c>
      <c r="AC787" s="164">
        <f t="shared" si="767"/>
        <v>0</v>
      </c>
      <c r="AD787" s="164">
        <f t="shared" si="767"/>
        <v>0</v>
      </c>
      <c r="AE787" s="164">
        <f t="shared" si="767"/>
        <v>0</v>
      </c>
      <c r="AF787" s="164">
        <f t="shared" si="767"/>
        <v>0</v>
      </c>
      <c r="AG787" s="164">
        <f t="shared" si="767"/>
        <v>0</v>
      </c>
      <c r="AH787" s="164">
        <f t="shared" si="767"/>
        <v>0</v>
      </c>
      <c r="AI787" s="164">
        <f t="shared" si="767"/>
        <v>0</v>
      </c>
      <c r="AJ787" s="164">
        <f t="shared" si="767"/>
        <v>0</v>
      </c>
      <c r="AK787" s="164">
        <f t="shared" si="767"/>
        <v>0</v>
      </c>
      <c r="AL787" s="164">
        <f t="shared" si="767"/>
        <v>0</v>
      </c>
      <c r="AM787" s="164">
        <f t="shared" si="767"/>
        <v>0</v>
      </c>
    </row>
    <row r="788" spans="1:39">
      <c r="A788" s="100"/>
      <c r="B788" s="100"/>
      <c r="C788" s="100"/>
      <c r="D788" s="179" t="str">
        <f t="shared" si="759"/>
        <v>Land</v>
      </c>
      <c r="E788" s="165" t="str">
        <f>H779</f>
        <v>Terminal Domestic - Turbo Prop</v>
      </c>
      <c r="F788" s="165"/>
      <c r="G788" s="200" t="s">
        <v>76</v>
      </c>
      <c r="H788" s="201"/>
      <c r="I788" s="200"/>
      <c r="J788" s="200"/>
      <c r="K788" s="199">
        <f>K406</f>
        <v>0</v>
      </c>
      <c r="L788" s="199">
        <f>L406</f>
        <v>0</v>
      </c>
      <c r="M788" s="527">
        <f>M406</f>
        <v>0</v>
      </c>
      <c r="N788" s="198">
        <f>N406</f>
        <v>21287</v>
      </c>
      <c r="O788" s="198">
        <f t="shared" ref="O788:AM788" si="768">SUM(O783:O784,O786)-SUM(O785,O787)</f>
        <v>21734.027000000002</v>
      </c>
      <c r="P788" s="198">
        <f t="shared" si="768"/>
        <v>22190.441567000002</v>
      </c>
      <c r="Q788" s="198">
        <f t="shared" si="768"/>
        <v>22656.440839907002</v>
      </c>
      <c r="R788" s="198">
        <f t="shared" si="768"/>
        <v>23132.226097545048</v>
      </c>
      <c r="S788" s="198">
        <f t="shared" si="768"/>
        <v>23618.002845593495</v>
      </c>
      <c r="T788" s="198">
        <f t="shared" si="768"/>
        <v>24208.452916733331</v>
      </c>
      <c r="U788" s="198">
        <f t="shared" si="768"/>
        <v>24813.664239651665</v>
      </c>
      <c r="V788" s="198">
        <f t="shared" si="768"/>
        <v>25434.005845642958</v>
      </c>
      <c r="W788" s="198">
        <f t="shared" si="768"/>
        <v>26069.855991784032</v>
      </c>
      <c r="X788" s="198">
        <f t="shared" si="768"/>
        <v>26721.602391578632</v>
      </c>
      <c r="Y788" s="198">
        <f t="shared" si="768"/>
        <v>27389.642451368098</v>
      </c>
      <c r="Z788" s="198">
        <f t="shared" si="768"/>
        <v>28074.383512652301</v>
      </c>
      <c r="AA788" s="198">
        <f t="shared" si="768"/>
        <v>28776.243100468608</v>
      </c>
      <c r="AB788" s="198">
        <f t="shared" si="768"/>
        <v>29495.649177980322</v>
      </c>
      <c r="AC788" s="198">
        <f t="shared" si="768"/>
        <v>30233.040407429831</v>
      </c>
      <c r="AD788" s="198">
        <f t="shared" si="768"/>
        <v>30988.866417615576</v>
      </c>
      <c r="AE788" s="198">
        <f t="shared" si="768"/>
        <v>31763.588078055967</v>
      </c>
      <c r="AF788" s="198">
        <f t="shared" si="768"/>
        <v>32557.677780007365</v>
      </c>
      <c r="AG788" s="198">
        <f t="shared" si="768"/>
        <v>33371.619724507553</v>
      </c>
      <c r="AH788" s="198">
        <f t="shared" si="768"/>
        <v>34205.910217620243</v>
      </c>
      <c r="AI788" s="198">
        <f t="shared" si="768"/>
        <v>35061.05797306075</v>
      </c>
      <c r="AJ788" s="198">
        <f t="shared" si="768"/>
        <v>35937.58442238727</v>
      </c>
      <c r="AK788" s="198">
        <f t="shared" si="768"/>
        <v>35937.58442238727</v>
      </c>
      <c r="AL788" s="198">
        <f t="shared" si="768"/>
        <v>35937.58442238727</v>
      </c>
      <c r="AM788" s="198">
        <f t="shared" si="768"/>
        <v>35937.58442238727</v>
      </c>
    </row>
    <row r="789" spans="1:39">
      <c r="A789" s="100"/>
      <c r="B789" s="100"/>
      <c r="C789" s="100"/>
      <c r="D789" s="179"/>
      <c r="E789" s="165"/>
      <c r="F789" s="165"/>
      <c r="G789" s="165"/>
      <c r="H789" s="121"/>
      <c r="I789" s="165"/>
      <c r="J789" s="165"/>
      <c r="K789" s="197"/>
      <c r="L789" s="197"/>
      <c r="M789" s="477"/>
      <c r="N789" s="164"/>
      <c r="O789" s="164"/>
      <c r="P789" s="164"/>
      <c r="Q789" s="164"/>
      <c r="R789" s="164"/>
      <c r="S789" s="164"/>
      <c r="T789" s="164"/>
      <c r="U789" s="164"/>
      <c r="V789" s="164"/>
      <c r="W789" s="164"/>
      <c r="X789" s="164"/>
      <c r="Y789" s="164"/>
      <c r="Z789" s="164"/>
      <c r="AA789" s="164"/>
      <c r="AB789" s="164"/>
      <c r="AC789" s="164"/>
      <c r="AD789" s="164"/>
      <c r="AE789" s="164"/>
      <c r="AF789" s="164"/>
      <c r="AG789" s="164"/>
      <c r="AH789" s="164"/>
      <c r="AI789" s="164"/>
      <c r="AJ789" s="164"/>
      <c r="AK789" s="164"/>
      <c r="AL789" s="164"/>
      <c r="AM789" s="164"/>
    </row>
    <row r="790" spans="1:39">
      <c r="A790" s="100"/>
      <c r="B790" s="100"/>
      <c r="C790" s="100"/>
      <c r="D790" s="179"/>
      <c r="E790" s="165"/>
      <c r="F790" s="165"/>
      <c r="G790" s="206" t="s">
        <v>37</v>
      </c>
      <c r="H790" s="121"/>
      <c r="I790" s="165"/>
      <c r="J790" s="165"/>
      <c r="K790" s="204"/>
      <c r="L790" s="197"/>
      <c r="M790" s="477"/>
      <c r="N790" s="164"/>
      <c r="O790" s="164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  <c r="AA790" s="165"/>
      <c r="AB790" s="165"/>
      <c r="AC790" s="165"/>
      <c r="AD790" s="165"/>
      <c r="AE790" s="165"/>
      <c r="AF790" s="165"/>
      <c r="AG790" s="165"/>
      <c r="AH790" s="165"/>
      <c r="AI790" s="165"/>
      <c r="AJ790" s="165"/>
      <c r="AK790" s="165"/>
      <c r="AL790" s="165"/>
      <c r="AM790" s="165"/>
    </row>
    <row r="791" spans="1:39">
      <c r="A791" s="100"/>
      <c r="B791" s="100"/>
      <c r="C791" s="100"/>
      <c r="D791" s="179"/>
      <c r="E791" s="165"/>
      <c r="F791" s="165"/>
      <c r="G791" s="205"/>
      <c r="H791" s="121"/>
      <c r="I791" s="165"/>
      <c r="J791" s="165"/>
      <c r="K791" s="204"/>
      <c r="L791" s="197"/>
      <c r="M791" s="477"/>
      <c r="N791" s="164"/>
      <c r="O791" s="164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  <c r="AA791" s="165"/>
      <c r="AB791" s="165"/>
      <c r="AC791" s="165"/>
      <c r="AD791" s="165"/>
      <c r="AE791" s="165"/>
      <c r="AF791" s="165"/>
      <c r="AG791" s="165"/>
      <c r="AH791" s="165"/>
      <c r="AI791" s="165"/>
      <c r="AJ791" s="165"/>
      <c r="AK791" s="165"/>
      <c r="AL791" s="165"/>
      <c r="AM791" s="165"/>
    </row>
    <row r="792" spans="1:39">
      <c r="A792" s="100"/>
      <c r="B792" s="100"/>
      <c r="C792" s="100"/>
      <c r="D792" s="179" t="str">
        <f t="shared" ref="D792:D797" si="769">$G$509</f>
        <v>Buildings</v>
      </c>
      <c r="E792" s="165" t="str">
        <f>H779</f>
        <v>Terminal Domestic - Turbo Prop</v>
      </c>
      <c r="F792" s="165"/>
      <c r="G792" s="165" t="s">
        <v>80</v>
      </c>
      <c r="H792" s="121"/>
      <c r="I792" s="165"/>
      <c r="J792" s="165"/>
      <c r="K792" s="530">
        <f>K797</f>
        <v>0</v>
      </c>
      <c r="L792" s="530">
        <f>L797</f>
        <v>0</v>
      </c>
      <c r="M792" s="531"/>
      <c r="N792" s="164"/>
      <c r="O792" s="164">
        <f t="shared" ref="O792:Y792" si="770">N797</f>
        <v>3539.0293513789775</v>
      </c>
      <c r="P792" s="164">
        <f t="shared" si="770"/>
        <v>3259.4460326200383</v>
      </c>
      <c r="Q792" s="164">
        <f t="shared" si="770"/>
        <v>2966.8651375992258</v>
      </c>
      <c r="R792" s="164">
        <f t="shared" si="770"/>
        <v>2668.1836443885759</v>
      </c>
      <c r="S792" s="164">
        <f t="shared" si="770"/>
        <v>2363.2745296432604</v>
      </c>
      <c r="T792" s="164">
        <f t="shared" si="770"/>
        <v>2052.0187789263659</v>
      </c>
      <c r="U792" s="164">
        <f t="shared" si="770"/>
        <v>1741.1924488650011</v>
      </c>
      <c r="V792" s="164">
        <f t="shared" si="770"/>
        <v>1422.6967464619502</v>
      </c>
      <c r="W792" s="164">
        <f t="shared" si="770"/>
        <v>1096.4043054016479</v>
      </c>
      <c r="X792" s="164">
        <f t="shared" si="770"/>
        <v>762.20990710447131</v>
      </c>
      <c r="Y792" s="164">
        <f t="shared" si="770"/>
        <v>420.10551404330289</v>
      </c>
      <c r="Z792" s="164">
        <f t="shared" ref="Z792:AM792" si="771">Y797</f>
        <v>424.3206345437614</v>
      </c>
      <c r="AA792" s="164">
        <f t="shared" si="771"/>
        <v>434.92865040735546</v>
      </c>
      <c r="AB792" s="164">
        <f t="shared" si="771"/>
        <v>445.80186666753934</v>
      </c>
      <c r="AC792" s="164">
        <f t="shared" si="771"/>
        <v>456.94691333422782</v>
      </c>
      <c r="AD792" s="164">
        <f t="shared" si="771"/>
        <v>468.3705861675835</v>
      </c>
      <c r="AE792" s="164">
        <f t="shared" si="771"/>
        <v>480.07985082177311</v>
      </c>
      <c r="AF792" s="164">
        <f t="shared" si="771"/>
        <v>492.08184709231745</v>
      </c>
      <c r="AG792" s="164">
        <f t="shared" si="771"/>
        <v>504.38389326962539</v>
      </c>
      <c r="AH792" s="164">
        <f t="shared" si="771"/>
        <v>516.99349060136603</v>
      </c>
      <c r="AI792" s="164">
        <f t="shared" si="771"/>
        <v>529.9183278664002</v>
      </c>
      <c r="AJ792" s="164">
        <f t="shared" si="771"/>
        <v>543.16628606306017</v>
      </c>
      <c r="AK792" s="164">
        <f t="shared" si="771"/>
        <v>556.74544321463668</v>
      </c>
      <c r="AL792" s="164">
        <f t="shared" si="771"/>
        <v>556.74544321463668</v>
      </c>
      <c r="AM792" s="164">
        <f t="shared" si="771"/>
        <v>556.74544321463668</v>
      </c>
    </row>
    <row r="793" spans="1:39">
      <c r="A793" s="100"/>
      <c r="B793" s="100"/>
      <c r="C793" s="100"/>
      <c r="D793" s="179" t="str">
        <f t="shared" si="769"/>
        <v>Buildings</v>
      </c>
      <c r="E793" s="165" t="str">
        <f>H779</f>
        <v>Terminal Domestic - Turbo Prop</v>
      </c>
      <c r="F793" s="165"/>
      <c r="G793" s="165" t="s">
        <v>83</v>
      </c>
      <c r="H793" s="121"/>
      <c r="I793" s="165"/>
      <c r="J793" s="165"/>
      <c r="K793" s="532"/>
      <c r="L793" s="532"/>
      <c r="M793" s="533"/>
      <c r="N793" s="164"/>
      <c r="O793" s="164">
        <f t="shared" ref="O793:X793" si="772">SUMIFS(O$63:O$80,$J$63:$J$80,$G790,$K$63:$K$80,$G793)</f>
        <v>0</v>
      </c>
      <c r="P793" s="164">
        <f t="shared" si="772"/>
        <v>0</v>
      </c>
      <c r="Q793" s="164">
        <f t="shared" si="772"/>
        <v>0</v>
      </c>
      <c r="R793" s="164">
        <f t="shared" si="772"/>
        <v>0</v>
      </c>
      <c r="S793" s="164">
        <f t="shared" si="772"/>
        <v>0</v>
      </c>
      <c r="T793" s="164">
        <f t="shared" si="772"/>
        <v>0</v>
      </c>
      <c r="U793" s="164">
        <f t="shared" si="772"/>
        <v>0</v>
      </c>
      <c r="V793" s="164">
        <f t="shared" si="772"/>
        <v>0</v>
      </c>
      <c r="W793" s="164">
        <f t="shared" si="772"/>
        <v>0</v>
      </c>
      <c r="X793" s="164">
        <f t="shared" si="772"/>
        <v>0</v>
      </c>
      <c r="Y793" s="164">
        <f>SUMIFS(Y$63:Y$80,$J$63:$J$80,$G790,$K$63:$K$80,$G793)</f>
        <v>0</v>
      </c>
      <c r="Z793" s="164">
        <f t="shared" ref="Z793:AM793" si="773">SUMIFS(Z$63:Z$80,$J$63:$J$80,$G790,$K$63:$K$80,$G793)</f>
        <v>0</v>
      </c>
      <c r="AA793" s="164">
        <f t="shared" si="773"/>
        <v>0</v>
      </c>
      <c r="AB793" s="164">
        <f t="shared" si="773"/>
        <v>0</v>
      </c>
      <c r="AC793" s="164">
        <f t="shared" si="773"/>
        <v>0</v>
      </c>
      <c r="AD793" s="164">
        <f t="shared" si="773"/>
        <v>0</v>
      </c>
      <c r="AE793" s="164">
        <f t="shared" si="773"/>
        <v>0</v>
      </c>
      <c r="AF793" s="164">
        <f t="shared" si="773"/>
        <v>0</v>
      </c>
      <c r="AG793" s="164">
        <f t="shared" si="773"/>
        <v>0</v>
      </c>
      <c r="AH793" s="164">
        <f t="shared" si="773"/>
        <v>0</v>
      </c>
      <c r="AI793" s="164">
        <f t="shared" si="773"/>
        <v>0</v>
      </c>
      <c r="AJ793" s="164">
        <f t="shared" si="773"/>
        <v>0</v>
      </c>
      <c r="AK793" s="164">
        <f t="shared" si="773"/>
        <v>0</v>
      </c>
      <c r="AL793" s="164">
        <f t="shared" si="773"/>
        <v>0</v>
      </c>
      <c r="AM793" s="164">
        <f t="shared" si="773"/>
        <v>0</v>
      </c>
    </row>
    <row r="794" spans="1:39">
      <c r="A794" s="100"/>
      <c r="B794" s="100"/>
      <c r="C794" s="100"/>
      <c r="D794" s="179" t="str">
        <f t="shared" si="769"/>
        <v>Buildings</v>
      </c>
      <c r="E794" s="165" t="str">
        <f>H779</f>
        <v>Terminal Domestic - Turbo Prop</v>
      </c>
      <c r="F794" s="165"/>
      <c r="G794" s="165" t="s">
        <v>78</v>
      </c>
      <c r="H794" s="121"/>
      <c r="I794" s="165"/>
      <c r="J794" s="165"/>
      <c r="K794" s="197"/>
      <c r="L794" s="197"/>
      <c r="M794" s="477"/>
      <c r="N794" s="164"/>
      <c r="O794" s="164">
        <f t="shared" ref="O794:X794" si="774">O413+SUMIFS(O$63:O$80,$J$63:$J$80,$G790,$K$63:$K$80,$G794)</f>
        <v>353.90293513789777</v>
      </c>
      <c r="P794" s="164">
        <f t="shared" si="774"/>
        <v>353.90293513789777</v>
      </c>
      <c r="Q794" s="164">
        <f t="shared" si="774"/>
        <v>353.90293513789777</v>
      </c>
      <c r="R794" s="164">
        <f t="shared" si="774"/>
        <v>353.90293513789777</v>
      </c>
      <c r="S794" s="164">
        <f t="shared" si="774"/>
        <v>353.90293513789777</v>
      </c>
      <c r="T794" s="164">
        <f t="shared" si="774"/>
        <v>353.90293513789777</v>
      </c>
      <c r="U794" s="164">
        <f t="shared" si="774"/>
        <v>353.90293513789777</v>
      </c>
      <c r="V794" s="164">
        <f t="shared" si="774"/>
        <v>353.90293513789777</v>
      </c>
      <c r="W794" s="164">
        <f t="shared" si="774"/>
        <v>353.90293513789777</v>
      </c>
      <c r="X794" s="164">
        <f t="shared" si="774"/>
        <v>353.90293513789777</v>
      </c>
      <c r="Y794" s="164">
        <f>Y413+SUMIFS(Y$63:Y$80,$J$63:$J$80,$G790,$K$63:$K$80,$G794)</f>
        <v>0</v>
      </c>
      <c r="Z794" s="164">
        <f t="shared" ref="Z794:AM794" si="775">Z413+SUMIFS(Z$63:Z$80,$J$63:$J$80,$G790,$K$63:$K$80,$G794)</f>
        <v>0</v>
      </c>
      <c r="AA794" s="164">
        <f t="shared" si="775"/>
        <v>0</v>
      </c>
      <c r="AB794" s="164">
        <f t="shared" si="775"/>
        <v>0</v>
      </c>
      <c r="AC794" s="164">
        <f t="shared" si="775"/>
        <v>0</v>
      </c>
      <c r="AD794" s="164">
        <f t="shared" si="775"/>
        <v>0</v>
      </c>
      <c r="AE794" s="164">
        <f t="shared" si="775"/>
        <v>0</v>
      </c>
      <c r="AF794" s="164">
        <f t="shared" si="775"/>
        <v>0</v>
      </c>
      <c r="AG794" s="164">
        <f t="shared" si="775"/>
        <v>0</v>
      </c>
      <c r="AH794" s="164">
        <f t="shared" si="775"/>
        <v>0</v>
      </c>
      <c r="AI794" s="164">
        <f t="shared" si="775"/>
        <v>0</v>
      </c>
      <c r="AJ794" s="164">
        <f t="shared" si="775"/>
        <v>0</v>
      </c>
      <c r="AK794" s="164">
        <f t="shared" si="775"/>
        <v>0</v>
      </c>
      <c r="AL794" s="164">
        <f t="shared" si="775"/>
        <v>0</v>
      </c>
      <c r="AM794" s="164">
        <f t="shared" si="775"/>
        <v>0</v>
      </c>
    </row>
    <row r="795" spans="1:39">
      <c r="A795" s="100"/>
      <c r="B795" s="100"/>
      <c r="C795" s="100"/>
      <c r="D795" s="179" t="str">
        <f t="shared" si="769"/>
        <v>Buildings</v>
      </c>
      <c r="E795" s="165" t="str">
        <f>H779</f>
        <v>Terminal Domestic - Turbo Prop</v>
      </c>
      <c r="F795" s="165"/>
      <c r="G795" s="165" t="s">
        <v>88</v>
      </c>
      <c r="H795" s="121"/>
      <c r="I795" s="165"/>
      <c r="J795" s="165"/>
      <c r="K795" s="197"/>
      <c r="L795" s="197"/>
      <c r="M795" s="477"/>
      <c r="N795" s="230"/>
      <c r="O795" s="230">
        <f>N797*'Volume &amp; CPI forecast'!O$13</f>
        <v>74.319616378958528</v>
      </c>
      <c r="P795" s="230">
        <f>O797*'Volume &amp; CPI forecast'!P$13</f>
        <v>68.448366685020815</v>
      </c>
      <c r="Q795" s="230">
        <f>P797*'Volume &amp; CPI forecast'!Q$13</f>
        <v>62.304167889583745</v>
      </c>
      <c r="R795" s="230">
        <f>Q797*'Volume &amp; CPI forecast'!R$13</f>
        <v>56.031856532160099</v>
      </c>
      <c r="S795" s="230">
        <f>R797*'Volume &amp; CPI forecast'!S$13</f>
        <v>49.628765122508469</v>
      </c>
      <c r="T795" s="230">
        <f>S797*'Volume &amp; CPI forecast'!T$13</f>
        <v>51.300469473159154</v>
      </c>
      <c r="U795" s="230">
        <f>T797*'Volume &amp; CPI forecast'!U$13</f>
        <v>43.529811221625032</v>
      </c>
      <c r="V795" s="230">
        <f>U797*'Volume &amp; CPI forecast'!V$13</f>
        <v>35.567418661548757</v>
      </c>
      <c r="W795" s="230">
        <f>V797*'Volume &amp; CPI forecast'!W$13</f>
        <v>27.4101076350412</v>
      </c>
      <c r="X795" s="230">
        <f>W797*'Volume &amp; CPI forecast'!X$13</f>
        <v>19.055247677611785</v>
      </c>
      <c r="Y795" s="230">
        <f>X797*'Volume &amp; CPI forecast'!Y$13</f>
        <v>10.502637851082573</v>
      </c>
      <c r="Z795" s="230">
        <f>Y797*'Volume &amp; CPI forecast'!Z$13</f>
        <v>10.608015863594035</v>
      </c>
      <c r="AA795" s="230">
        <f>Z797*'Volume &amp; CPI forecast'!AA$13</f>
        <v>10.873216260183888</v>
      </c>
      <c r="AB795" s="230">
        <f>AA797*'Volume &amp; CPI forecast'!AB$13</f>
        <v>11.145046666688485</v>
      </c>
      <c r="AC795" s="230">
        <f>AB797*'Volume &amp; CPI forecast'!AC$13</f>
        <v>11.423672833355695</v>
      </c>
      <c r="AD795" s="230">
        <f>AC797*'Volume &amp; CPI forecast'!AD$13</f>
        <v>11.709264654189589</v>
      </c>
      <c r="AE795" s="230">
        <f>AD797*'Volume &amp; CPI forecast'!AE$13</f>
        <v>12.001996270544328</v>
      </c>
      <c r="AF795" s="230">
        <f>AE797*'Volume &amp; CPI forecast'!AF$13</f>
        <v>12.302046177307936</v>
      </c>
      <c r="AG795" s="230">
        <f>AF797*'Volume &amp; CPI forecast'!AG$13</f>
        <v>12.609597331740636</v>
      </c>
      <c r="AH795" s="230">
        <f>AG797*'Volume &amp; CPI forecast'!AH$13</f>
        <v>12.924837265034151</v>
      </c>
      <c r="AI795" s="230">
        <f>AH797*'Volume &amp; CPI forecast'!AI$13</f>
        <v>13.247958196660006</v>
      </c>
      <c r="AJ795" s="230">
        <f>AI797*'Volume &amp; CPI forecast'!AJ$13</f>
        <v>13.579157151576505</v>
      </c>
      <c r="AK795" s="230">
        <f>AJ797*'Volume &amp; CPI forecast'!AK$13</f>
        <v>0</v>
      </c>
      <c r="AL795" s="230">
        <f>AK797*'Volume &amp; CPI forecast'!AL$13</f>
        <v>0</v>
      </c>
      <c r="AM795" s="230">
        <f>AL797*'Volume &amp; CPI forecast'!AM$13</f>
        <v>0</v>
      </c>
    </row>
    <row r="796" spans="1:39">
      <c r="A796" s="100"/>
      <c r="B796" s="100"/>
      <c r="C796" s="100"/>
      <c r="D796" s="179" t="str">
        <f t="shared" si="769"/>
        <v>Buildings</v>
      </c>
      <c r="E796" s="165" t="str">
        <f>H779</f>
        <v>Terminal Domestic - Turbo Prop</v>
      </c>
      <c r="F796" s="165"/>
      <c r="G796" s="165" t="s">
        <v>87</v>
      </c>
      <c r="H796" s="121"/>
      <c r="I796" s="165"/>
      <c r="J796" s="165"/>
      <c r="K796" s="197"/>
      <c r="L796" s="197"/>
      <c r="M796" s="477"/>
      <c r="N796" s="164"/>
      <c r="O796" s="164">
        <f t="shared" ref="O796:X796" si="776">IF(N792&gt;0,N794/AVERAGE(N792,N797)*O795,0)</f>
        <v>0</v>
      </c>
      <c r="P796" s="164">
        <f t="shared" si="776"/>
        <v>7.1263265679355356</v>
      </c>
      <c r="Q796" s="164">
        <f t="shared" si="776"/>
        <v>7.0827259623362373</v>
      </c>
      <c r="R796" s="164">
        <f t="shared" si="776"/>
        <v>7.0380361395778159</v>
      </c>
      <c r="S796" s="164">
        <f t="shared" si="776"/>
        <v>6.9815807015049796</v>
      </c>
      <c r="T796" s="164">
        <f t="shared" si="776"/>
        <v>8.2238643966258955</v>
      </c>
      <c r="U796" s="164">
        <f t="shared" si="776"/>
        <v>8.1225784867781261</v>
      </c>
      <c r="V796" s="164">
        <f t="shared" si="776"/>
        <v>7.956924583953251</v>
      </c>
      <c r="W796" s="164">
        <f t="shared" si="776"/>
        <v>7.701570794320034</v>
      </c>
      <c r="X796" s="164">
        <f t="shared" si="776"/>
        <v>7.2567056008824293</v>
      </c>
      <c r="Y796" s="164">
        <f t="shared" ref="Y796:AM796" si="777">IF(X792&gt;0,X794/AVERAGE(X792,X797)*Y795,0)</f>
        <v>6.28751735062405</v>
      </c>
      <c r="Z796" s="164">
        <f t="shared" si="777"/>
        <v>0</v>
      </c>
      <c r="AA796" s="164">
        <f t="shared" si="777"/>
        <v>0</v>
      </c>
      <c r="AB796" s="164">
        <f t="shared" si="777"/>
        <v>0</v>
      </c>
      <c r="AC796" s="164">
        <f t="shared" si="777"/>
        <v>0</v>
      </c>
      <c r="AD796" s="164">
        <f t="shared" si="777"/>
        <v>0</v>
      </c>
      <c r="AE796" s="164">
        <f t="shared" si="777"/>
        <v>0</v>
      </c>
      <c r="AF796" s="164">
        <f t="shared" si="777"/>
        <v>0</v>
      </c>
      <c r="AG796" s="164">
        <f t="shared" si="777"/>
        <v>0</v>
      </c>
      <c r="AH796" s="164">
        <f t="shared" si="777"/>
        <v>0</v>
      </c>
      <c r="AI796" s="164">
        <f t="shared" si="777"/>
        <v>0</v>
      </c>
      <c r="AJ796" s="164">
        <f t="shared" si="777"/>
        <v>0</v>
      </c>
      <c r="AK796" s="164">
        <f t="shared" si="777"/>
        <v>0</v>
      </c>
      <c r="AL796" s="164">
        <f t="shared" si="777"/>
        <v>0</v>
      </c>
      <c r="AM796" s="164">
        <f t="shared" si="777"/>
        <v>0</v>
      </c>
    </row>
    <row r="797" spans="1:39">
      <c r="A797" s="100"/>
      <c r="B797" s="100"/>
      <c r="C797" s="100"/>
      <c r="D797" s="179" t="str">
        <f t="shared" si="769"/>
        <v>Buildings</v>
      </c>
      <c r="E797" s="165" t="str">
        <f>H779</f>
        <v>Terminal Domestic - Turbo Prop</v>
      </c>
      <c r="F797" s="165"/>
      <c r="G797" s="200" t="s">
        <v>76</v>
      </c>
      <c r="H797" s="201"/>
      <c r="I797" s="200"/>
      <c r="J797" s="200"/>
      <c r="K797" s="199">
        <f>K415</f>
        <v>0</v>
      </c>
      <c r="L797" s="199">
        <f>L415</f>
        <v>0</v>
      </c>
      <c r="M797" s="527">
        <f>M415</f>
        <v>0</v>
      </c>
      <c r="N797" s="198">
        <f>N415</f>
        <v>3539.0293513789775</v>
      </c>
      <c r="O797" s="198">
        <f t="shared" ref="O797:AM797" si="778">SUM(O792:O793,O795)-SUM(O794,O796)</f>
        <v>3259.4460326200383</v>
      </c>
      <c r="P797" s="198">
        <f t="shared" si="778"/>
        <v>2966.8651375992258</v>
      </c>
      <c r="Q797" s="198">
        <f t="shared" si="778"/>
        <v>2668.1836443885759</v>
      </c>
      <c r="R797" s="198">
        <f t="shared" si="778"/>
        <v>2363.2745296432604</v>
      </c>
      <c r="S797" s="198">
        <f t="shared" si="778"/>
        <v>2052.0187789263659</v>
      </c>
      <c r="T797" s="198">
        <f t="shared" si="778"/>
        <v>1741.1924488650011</v>
      </c>
      <c r="U797" s="198">
        <f t="shared" si="778"/>
        <v>1422.6967464619502</v>
      </c>
      <c r="V797" s="198">
        <f t="shared" si="778"/>
        <v>1096.4043054016479</v>
      </c>
      <c r="W797" s="198">
        <f t="shared" si="778"/>
        <v>762.20990710447131</v>
      </c>
      <c r="X797" s="198">
        <f t="shared" si="778"/>
        <v>420.10551404330289</v>
      </c>
      <c r="Y797" s="198">
        <f t="shared" si="778"/>
        <v>424.3206345437614</v>
      </c>
      <c r="Z797" s="198">
        <f t="shared" si="778"/>
        <v>434.92865040735546</v>
      </c>
      <c r="AA797" s="198">
        <f t="shared" si="778"/>
        <v>445.80186666753934</v>
      </c>
      <c r="AB797" s="198">
        <f t="shared" si="778"/>
        <v>456.94691333422782</v>
      </c>
      <c r="AC797" s="198">
        <f t="shared" si="778"/>
        <v>468.3705861675835</v>
      </c>
      <c r="AD797" s="198">
        <f t="shared" si="778"/>
        <v>480.07985082177311</v>
      </c>
      <c r="AE797" s="198">
        <f t="shared" si="778"/>
        <v>492.08184709231745</v>
      </c>
      <c r="AF797" s="198">
        <f t="shared" si="778"/>
        <v>504.38389326962539</v>
      </c>
      <c r="AG797" s="198">
        <f t="shared" si="778"/>
        <v>516.99349060136603</v>
      </c>
      <c r="AH797" s="198">
        <f t="shared" si="778"/>
        <v>529.9183278664002</v>
      </c>
      <c r="AI797" s="198">
        <f t="shared" si="778"/>
        <v>543.16628606306017</v>
      </c>
      <c r="AJ797" s="198">
        <f t="shared" si="778"/>
        <v>556.74544321463668</v>
      </c>
      <c r="AK797" s="198">
        <f t="shared" si="778"/>
        <v>556.74544321463668</v>
      </c>
      <c r="AL797" s="198">
        <f t="shared" si="778"/>
        <v>556.74544321463668</v>
      </c>
      <c r="AM797" s="198">
        <f t="shared" si="778"/>
        <v>556.74544321463668</v>
      </c>
    </row>
    <row r="798" spans="1:39">
      <c r="A798" s="100"/>
      <c r="B798" s="100"/>
      <c r="C798" s="100"/>
      <c r="D798" s="179"/>
      <c r="E798" s="165"/>
      <c r="F798" s="165"/>
      <c r="G798" s="205"/>
      <c r="H798" s="121"/>
      <c r="I798" s="165"/>
      <c r="J798" s="165"/>
      <c r="K798" s="204"/>
      <c r="L798" s="197"/>
      <c r="M798" s="477"/>
      <c r="N798" s="164"/>
      <c r="O798" s="164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  <c r="AG798" s="165"/>
      <c r="AH798" s="165"/>
      <c r="AI798" s="165"/>
      <c r="AJ798" s="165"/>
      <c r="AK798" s="165"/>
      <c r="AL798" s="165"/>
      <c r="AM798" s="165"/>
    </row>
    <row r="799" spans="1:39">
      <c r="A799" s="100"/>
      <c r="B799" s="100"/>
      <c r="C799" s="100"/>
      <c r="D799" s="179"/>
      <c r="E799" s="165"/>
      <c r="F799" s="165"/>
      <c r="G799" s="206" t="s">
        <v>36</v>
      </c>
      <c r="H799" s="121"/>
      <c r="I799" s="165"/>
      <c r="J799" s="165"/>
      <c r="K799" s="204"/>
      <c r="L799" s="197"/>
      <c r="M799" s="477"/>
      <c r="N799" s="164"/>
      <c r="O799" s="164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</row>
    <row r="800" spans="1:39">
      <c r="A800" s="100"/>
      <c r="B800" s="100"/>
      <c r="C800" s="100"/>
      <c r="D800" s="179"/>
      <c r="E800" s="165"/>
      <c r="F800" s="165"/>
      <c r="G800" s="205"/>
      <c r="H800" s="121"/>
      <c r="I800" s="165"/>
      <c r="J800" s="165"/>
      <c r="K800" s="204"/>
      <c r="L800" s="197"/>
      <c r="M800" s="477"/>
      <c r="N800" s="164"/>
      <c r="O800" s="164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</row>
    <row r="801" spans="1:39">
      <c r="A801" s="100"/>
      <c r="B801" s="100"/>
      <c r="C801" s="100"/>
      <c r="D801" s="179" t="str">
        <f t="shared" ref="D801:D806" si="779">$G$518</f>
        <v>Computers &amp; Furniture</v>
      </c>
      <c r="E801" s="165" t="str">
        <f>H779</f>
        <v>Terminal Domestic - Turbo Prop</v>
      </c>
      <c r="F801" s="165"/>
      <c r="G801" s="165" t="s">
        <v>80</v>
      </c>
      <c r="H801" s="121"/>
      <c r="I801" s="165"/>
      <c r="J801" s="165"/>
      <c r="K801" s="530">
        <f>K806</f>
        <v>0</v>
      </c>
      <c r="L801" s="530">
        <f>L806</f>
        <v>0</v>
      </c>
      <c r="M801" s="531"/>
      <c r="N801" s="164"/>
      <c r="O801" s="164">
        <f t="shared" ref="O801:Y801" si="780">N806</f>
        <v>26962.404147823356</v>
      </c>
      <c r="P801" s="164">
        <f t="shared" si="780"/>
        <v>40539.282618683501</v>
      </c>
      <c r="Q801" s="164">
        <f t="shared" si="780"/>
        <v>46194.271392184841</v>
      </c>
      <c r="R801" s="164">
        <f t="shared" si="780"/>
        <v>52436.113824763845</v>
      </c>
      <c r="S801" s="164">
        <f t="shared" si="780"/>
        <v>43450.202522479296</v>
      </c>
      <c r="T801" s="164">
        <f t="shared" si="780"/>
        <v>52160.579136060158</v>
      </c>
      <c r="U801" s="164">
        <f t="shared" si="780"/>
        <v>34405.234342104581</v>
      </c>
      <c r="V801" s="164">
        <f t="shared" si="780"/>
        <v>22193.344815486438</v>
      </c>
      <c r="W801" s="164">
        <f t="shared" si="780"/>
        <v>14684.924153833899</v>
      </c>
      <c r="X801" s="164">
        <f t="shared" si="780"/>
        <v>10285.57590713959</v>
      </c>
      <c r="Y801" s="164">
        <f t="shared" si="780"/>
        <v>7783.829305085741</v>
      </c>
      <c r="Z801" s="164">
        <f t="shared" ref="Z801:AM801" si="781">Y806</f>
        <v>5444.6750946850279</v>
      </c>
      <c r="AA801" s="164">
        <f t="shared" si="781"/>
        <v>3308.4634635326047</v>
      </c>
      <c r="AB801" s="164">
        <f t="shared" si="781"/>
        <v>1583.6199360420501</v>
      </c>
      <c r="AC801" s="164">
        <f t="shared" si="781"/>
        <v>1.1596057447604835E-11</v>
      </c>
      <c r="AD801" s="164">
        <f t="shared" si="781"/>
        <v>1.1596057447604835E-11</v>
      </c>
      <c r="AE801" s="164">
        <f t="shared" si="781"/>
        <v>1.1596057447604835E-11</v>
      </c>
      <c r="AF801" s="164">
        <f t="shared" si="781"/>
        <v>1.1596057447604835E-11</v>
      </c>
      <c r="AG801" s="164">
        <f t="shared" si="781"/>
        <v>1.1596057447604835E-11</v>
      </c>
      <c r="AH801" s="164">
        <f t="shared" si="781"/>
        <v>1.1596057447604835E-11</v>
      </c>
      <c r="AI801" s="164">
        <f t="shared" si="781"/>
        <v>1.1596057447604835E-11</v>
      </c>
      <c r="AJ801" s="164">
        <f t="shared" si="781"/>
        <v>1.1596057447604835E-11</v>
      </c>
      <c r="AK801" s="164">
        <f t="shared" si="781"/>
        <v>1.1596057447604835E-11</v>
      </c>
      <c r="AL801" s="164">
        <f t="shared" si="781"/>
        <v>1.1596057447604835E-11</v>
      </c>
      <c r="AM801" s="164">
        <f t="shared" si="781"/>
        <v>1.1596057447604835E-11</v>
      </c>
    </row>
    <row r="802" spans="1:39">
      <c r="A802" s="100"/>
      <c r="B802" s="100"/>
      <c r="C802" s="100"/>
      <c r="D802" s="179" t="str">
        <f t="shared" si="779"/>
        <v>Computers &amp; Furniture</v>
      </c>
      <c r="E802" s="165" t="str">
        <f>H779</f>
        <v>Terminal Domestic - Turbo Prop</v>
      </c>
      <c r="F802" s="165"/>
      <c r="G802" s="165" t="s">
        <v>83</v>
      </c>
      <c r="H802" s="121"/>
      <c r="I802" s="165"/>
      <c r="J802" s="165"/>
      <c r="K802" s="532"/>
      <c r="L802" s="532"/>
      <c r="M802" s="533"/>
      <c r="N802" s="164"/>
      <c r="O802" s="164">
        <f t="shared" ref="O802:X802" si="782">SUMIFS(O$63:O$80,$J$63:$J$80,$G799,$K$63:$K$80,$G802)</f>
        <v>23969.690258602797</v>
      </c>
      <c r="P802" s="164">
        <f t="shared" si="782"/>
        <v>20533.443210090256</v>
      </c>
      <c r="Q802" s="164">
        <f t="shared" si="782"/>
        <v>26928.720488913044</v>
      </c>
      <c r="R802" s="164">
        <f t="shared" si="782"/>
        <v>15318.841822502289</v>
      </c>
      <c r="S802" s="164">
        <f t="shared" si="782"/>
        <v>37760.497243455611</v>
      </c>
      <c r="T802" s="164">
        <f t="shared" si="782"/>
        <v>0</v>
      </c>
      <c r="U802" s="164">
        <f t="shared" si="782"/>
        <v>0</v>
      </c>
      <c r="V802" s="164">
        <f t="shared" si="782"/>
        <v>0</v>
      </c>
      <c r="W802" s="164">
        <f t="shared" si="782"/>
        <v>0</v>
      </c>
      <c r="X802" s="164">
        <f t="shared" si="782"/>
        <v>0</v>
      </c>
      <c r="Y802" s="164">
        <f>SUMIFS(Y$63:Y$80,$J$63:$J$80,$G799,$K$63:$K$80,$G802)</f>
        <v>0</v>
      </c>
      <c r="Z802" s="164">
        <f t="shared" ref="Z802:AM802" si="783">SUMIFS(Z$63:Z$80,$J$63:$J$80,$G799,$K$63:$K$80,$G802)</f>
        <v>0</v>
      </c>
      <c r="AA802" s="164">
        <f t="shared" si="783"/>
        <v>0</v>
      </c>
      <c r="AB802" s="164">
        <f t="shared" si="783"/>
        <v>0</v>
      </c>
      <c r="AC802" s="164">
        <f t="shared" si="783"/>
        <v>0</v>
      </c>
      <c r="AD802" s="164">
        <f t="shared" si="783"/>
        <v>0</v>
      </c>
      <c r="AE802" s="164">
        <f t="shared" si="783"/>
        <v>0</v>
      </c>
      <c r="AF802" s="164">
        <f t="shared" si="783"/>
        <v>0</v>
      </c>
      <c r="AG802" s="164">
        <f t="shared" si="783"/>
        <v>0</v>
      </c>
      <c r="AH802" s="164">
        <f t="shared" si="783"/>
        <v>0</v>
      </c>
      <c r="AI802" s="164">
        <f t="shared" si="783"/>
        <v>0</v>
      </c>
      <c r="AJ802" s="164">
        <f t="shared" si="783"/>
        <v>0</v>
      </c>
      <c r="AK802" s="164">
        <f t="shared" si="783"/>
        <v>0</v>
      </c>
      <c r="AL802" s="164">
        <f t="shared" si="783"/>
        <v>0</v>
      </c>
      <c r="AM802" s="164">
        <f t="shared" si="783"/>
        <v>0</v>
      </c>
    </row>
    <row r="803" spans="1:39">
      <c r="A803" s="100"/>
      <c r="B803" s="100"/>
      <c r="C803" s="100"/>
      <c r="D803" s="179" t="str">
        <f t="shared" si="779"/>
        <v>Computers &amp; Furniture</v>
      </c>
      <c r="E803" s="165" t="str">
        <f>H779</f>
        <v>Terminal Domestic - Turbo Prop</v>
      </c>
      <c r="F803" s="165"/>
      <c r="G803" s="165" t="s">
        <v>78</v>
      </c>
      <c r="H803" s="121"/>
      <c r="I803" s="165"/>
      <c r="J803" s="165"/>
      <c r="K803" s="197"/>
      <c r="L803" s="197"/>
      <c r="M803" s="477"/>
      <c r="N803" s="164"/>
      <c r="O803" s="164">
        <f t="shared" ref="O803:X803" si="784">O422+SUMIFS(O$63:O$80,$J$63:$J$80,$G799,$K$63:$K$80,$G803)</f>
        <v>10392.811787742659</v>
      </c>
      <c r="P803" s="164">
        <f t="shared" si="784"/>
        <v>14878.454436588914</v>
      </c>
      <c r="Q803" s="164">
        <f t="shared" si="784"/>
        <v>20686.878056334044</v>
      </c>
      <c r="R803" s="164">
        <f t="shared" si="784"/>
        <v>24304.753124786839</v>
      </c>
      <c r="S803" s="164">
        <f t="shared" si="784"/>
        <v>29050.120629874742</v>
      </c>
      <c r="T803" s="164">
        <f t="shared" si="784"/>
        <v>17755.344793955574</v>
      </c>
      <c r="U803" s="164">
        <f t="shared" si="784"/>
        <v>12211.889526618144</v>
      </c>
      <c r="V803" s="164">
        <f t="shared" si="784"/>
        <v>7508.4206616525389</v>
      </c>
      <c r="W803" s="164">
        <f t="shared" si="784"/>
        <v>4399.3482466943096</v>
      </c>
      <c r="X803" s="164">
        <f t="shared" si="784"/>
        <v>2501.7466020538486</v>
      </c>
      <c r="Y803" s="164">
        <f>Y422+SUMIFS(Y$63:Y$80,$J$63:$J$80,$G799,$K$63:$K$80,$G803)</f>
        <v>2339.1542104007131</v>
      </c>
      <c r="Z803" s="164">
        <f t="shared" ref="Z803:AM803" si="785">Z422+SUMIFS(Z$63:Z$80,$J$63:$J$80,$G799,$K$63:$K$80,$G803)</f>
        <v>2136.2116311524233</v>
      </c>
      <c r="AA803" s="164">
        <f t="shared" si="785"/>
        <v>1724.8435274905546</v>
      </c>
      <c r="AB803" s="164">
        <f t="shared" si="785"/>
        <v>1583.6199360420385</v>
      </c>
      <c r="AC803" s="164">
        <f t="shared" si="785"/>
        <v>0</v>
      </c>
      <c r="AD803" s="164">
        <f t="shared" si="785"/>
        <v>0</v>
      </c>
      <c r="AE803" s="164">
        <f t="shared" si="785"/>
        <v>0</v>
      </c>
      <c r="AF803" s="164">
        <f t="shared" si="785"/>
        <v>0</v>
      </c>
      <c r="AG803" s="164">
        <f t="shared" si="785"/>
        <v>0</v>
      </c>
      <c r="AH803" s="164">
        <f t="shared" si="785"/>
        <v>0</v>
      </c>
      <c r="AI803" s="164">
        <f t="shared" si="785"/>
        <v>0</v>
      </c>
      <c r="AJ803" s="164">
        <f t="shared" si="785"/>
        <v>0</v>
      </c>
      <c r="AK803" s="164">
        <f t="shared" si="785"/>
        <v>0</v>
      </c>
      <c r="AL803" s="164">
        <f t="shared" si="785"/>
        <v>0</v>
      </c>
      <c r="AM803" s="164">
        <f t="shared" si="785"/>
        <v>0</v>
      </c>
    </row>
    <row r="804" spans="1:39">
      <c r="A804" s="100"/>
      <c r="B804" s="100"/>
      <c r="C804" s="100"/>
      <c r="D804" s="179" t="str">
        <f t="shared" si="779"/>
        <v>Computers &amp; Furniture</v>
      </c>
      <c r="E804" s="165" t="str">
        <f>H779</f>
        <v>Terminal Domestic - Turbo Prop</v>
      </c>
      <c r="F804" s="165"/>
      <c r="G804" s="165" t="s">
        <v>88</v>
      </c>
      <c r="H804" s="121"/>
      <c r="I804" s="165"/>
      <c r="J804" s="165"/>
      <c r="K804" s="197"/>
      <c r="L804" s="197"/>
      <c r="M804" s="477"/>
      <c r="N804" s="230"/>
      <c r="O804" s="230"/>
      <c r="P804" s="230"/>
      <c r="Q804" s="230"/>
      <c r="R804" s="230"/>
      <c r="S804" s="230"/>
      <c r="T804" s="230"/>
      <c r="U804" s="230"/>
      <c r="V804" s="230"/>
      <c r="W804" s="230"/>
      <c r="X804" s="230"/>
      <c r="Y804" s="230"/>
      <c r="Z804" s="230"/>
      <c r="AA804" s="230"/>
      <c r="AB804" s="230"/>
      <c r="AC804" s="230"/>
      <c r="AD804" s="230"/>
      <c r="AE804" s="230"/>
      <c r="AF804" s="230"/>
      <c r="AG804" s="230"/>
      <c r="AH804" s="230"/>
      <c r="AI804" s="230"/>
      <c r="AJ804" s="230"/>
      <c r="AK804" s="230"/>
      <c r="AL804" s="230"/>
      <c r="AM804" s="230"/>
    </row>
    <row r="805" spans="1:39">
      <c r="A805" s="100"/>
      <c r="B805" s="100"/>
      <c r="C805" s="100"/>
      <c r="D805" s="179" t="str">
        <f t="shared" si="779"/>
        <v>Computers &amp; Furniture</v>
      </c>
      <c r="E805" s="165" t="str">
        <f>H779</f>
        <v>Terminal Domestic - Turbo Prop</v>
      </c>
      <c r="F805" s="165"/>
      <c r="G805" s="165" t="s">
        <v>87</v>
      </c>
      <c r="H805" s="121"/>
      <c r="I805" s="165"/>
      <c r="J805" s="165"/>
      <c r="K805" s="197"/>
      <c r="L805" s="197"/>
      <c r="M805" s="477"/>
      <c r="N805" s="164"/>
      <c r="O805" s="164">
        <f t="shared" ref="O805:X805" si="786">IF(N801&gt;0,N803/AVERAGE(N801,N806)*O804,0)</f>
        <v>0</v>
      </c>
      <c r="P805" s="164">
        <f t="shared" si="786"/>
        <v>0</v>
      </c>
      <c r="Q805" s="164">
        <f t="shared" si="786"/>
        <v>0</v>
      </c>
      <c r="R805" s="164">
        <f t="shared" si="786"/>
        <v>0</v>
      </c>
      <c r="S805" s="164">
        <f t="shared" si="786"/>
        <v>0</v>
      </c>
      <c r="T805" s="164">
        <f t="shared" si="786"/>
        <v>0</v>
      </c>
      <c r="U805" s="164">
        <f t="shared" si="786"/>
        <v>0</v>
      </c>
      <c r="V805" s="164">
        <f t="shared" si="786"/>
        <v>0</v>
      </c>
      <c r="W805" s="164">
        <f t="shared" si="786"/>
        <v>0</v>
      </c>
      <c r="X805" s="164">
        <f t="shared" si="786"/>
        <v>0</v>
      </c>
      <c r="Y805" s="164">
        <f t="shared" ref="Y805:AM805" si="787">IF(X801&gt;0,X803/AVERAGE(X801,X806)*Y804,0)</f>
        <v>0</v>
      </c>
      <c r="Z805" s="164">
        <f t="shared" si="787"/>
        <v>0</v>
      </c>
      <c r="AA805" s="164">
        <f t="shared" si="787"/>
        <v>0</v>
      </c>
      <c r="AB805" s="164">
        <f t="shared" si="787"/>
        <v>0</v>
      </c>
      <c r="AC805" s="164">
        <f t="shared" si="787"/>
        <v>0</v>
      </c>
      <c r="AD805" s="164">
        <f t="shared" si="787"/>
        <v>0</v>
      </c>
      <c r="AE805" s="164">
        <f t="shared" si="787"/>
        <v>0</v>
      </c>
      <c r="AF805" s="164">
        <f t="shared" si="787"/>
        <v>0</v>
      </c>
      <c r="AG805" s="164">
        <f t="shared" si="787"/>
        <v>0</v>
      </c>
      <c r="AH805" s="164">
        <f t="shared" si="787"/>
        <v>0</v>
      </c>
      <c r="AI805" s="164">
        <f t="shared" si="787"/>
        <v>0</v>
      </c>
      <c r="AJ805" s="164">
        <f t="shared" si="787"/>
        <v>0</v>
      </c>
      <c r="AK805" s="164">
        <f t="shared" si="787"/>
        <v>0</v>
      </c>
      <c r="AL805" s="164">
        <f t="shared" si="787"/>
        <v>0</v>
      </c>
      <c r="AM805" s="164">
        <f t="shared" si="787"/>
        <v>0</v>
      </c>
    </row>
    <row r="806" spans="1:39">
      <c r="A806" s="100"/>
      <c r="B806" s="100"/>
      <c r="C806" s="100"/>
      <c r="D806" s="179" t="str">
        <f t="shared" si="779"/>
        <v>Computers &amp; Furniture</v>
      </c>
      <c r="E806" s="165" t="str">
        <f>H779</f>
        <v>Terminal Domestic - Turbo Prop</v>
      </c>
      <c r="F806" s="165"/>
      <c r="G806" s="200" t="s">
        <v>76</v>
      </c>
      <c r="H806" s="201"/>
      <c r="I806" s="200"/>
      <c r="J806" s="200"/>
      <c r="K806" s="199">
        <f>K424</f>
        <v>0</v>
      </c>
      <c r="L806" s="199">
        <f>L424</f>
        <v>0</v>
      </c>
      <c r="M806" s="527">
        <f>M424</f>
        <v>0</v>
      </c>
      <c r="N806" s="198">
        <f>N424</f>
        <v>26962.404147823356</v>
      </c>
      <c r="O806" s="198">
        <f t="shared" ref="O806:AM806" si="788">SUM(O801:O802,O804)-SUM(O803,O805)</f>
        <v>40539.282618683501</v>
      </c>
      <c r="P806" s="198">
        <f t="shared" si="788"/>
        <v>46194.271392184841</v>
      </c>
      <c r="Q806" s="198">
        <f t="shared" si="788"/>
        <v>52436.113824763845</v>
      </c>
      <c r="R806" s="198">
        <f t="shared" si="788"/>
        <v>43450.202522479296</v>
      </c>
      <c r="S806" s="198">
        <f t="shared" si="788"/>
        <v>52160.579136060158</v>
      </c>
      <c r="T806" s="198">
        <f t="shared" si="788"/>
        <v>34405.234342104581</v>
      </c>
      <c r="U806" s="198">
        <f t="shared" si="788"/>
        <v>22193.344815486438</v>
      </c>
      <c r="V806" s="198">
        <f t="shared" si="788"/>
        <v>14684.924153833899</v>
      </c>
      <c r="W806" s="198">
        <f t="shared" si="788"/>
        <v>10285.57590713959</v>
      </c>
      <c r="X806" s="198">
        <f t="shared" si="788"/>
        <v>7783.829305085741</v>
      </c>
      <c r="Y806" s="198">
        <f t="shared" si="788"/>
        <v>5444.6750946850279</v>
      </c>
      <c r="Z806" s="198">
        <f t="shared" si="788"/>
        <v>3308.4634635326047</v>
      </c>
      <c r="AA806" s="198">
        <f t="shared" si="788"/>
        <v>1583.6199360420501</v>
      </c>
      <c r="AB806" s="198">
        <f t="shared" si="788"/>
        <v>1.1596057447604835E-11</v>
      </c>
      <c r="AC806" s="198">
        <f t="shared" si="788"/>
        <v>1.1596057447604835E-11</v>
      </c>
      <c r="AD806" s="198">
        <f t="shared" si="788"/>
        <v>1.1596057447604835E-11</v>
      </c>
      <c r="AE806" s="198">
        <f t="shared" si="788"/>
        <v>1.1596057447604835E-11</v>
      </c>
      <c r="AF806" s="198">
        <f t="shared" si="788"/>
        <v>1.1596057447604835E-11</v>
      </c>
      <c r="AG806" s="198">
        <f t="shared" si="788"/>
        <v>1.1596057447604835E-11</v>
      </c>
      <c r="AH806" s="198">
        <f t="shared" si="788"/>
        <v>1.1596057447604835E-11</v>
      </c>
      <c r="AI806" s="198">
        <f t="shared" si="788"/>
        <v>1.1596057447604835E-11</v>
      </c>
      <c r="AJ806" s="198">
        <f t="shared" si="788"/>
        <v>1.1596057447604835E-11</v>
      </c>
      <c r="AK806" s="198">
        <f t="shared" si="788"/>
        <v>1.1596057447604835E-11</v>
      </c>
      <c r="AL806" s="198">
        <f t="shared" si="788"/>
        <v>1.1596057447604835E-11</v>
      </c>
      <c r="AM806" s="198">
        <f t="shared" si="788"/>
        <v>1.1596057447604835E-11</v>
      </c>
    </row>
    <row r="807" spans="1:39">
      <c r="A807" s="100"/>
      <c r="B807" s="100"/>
      <c r="C807" s="100"/>
      <c r="D807" s="179"/>
      <c r="E807" s="165"/>
      <c r="F807" s="165"/>
      <c r="G807" s="205"/>
      <c r="H807" s="121"/>
      <c r="I807" s="165"/>
      <c r="J807" s="165"/>
      <c r="K807" s="204"/>
      <c r="L807" s="197"/>
      <c r="M807" s="477"/>
      <c r="N807" s="164"/>
      <c r="O807" s="164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  <c r="AA807" s="165"/>
      <c r="AB807" s="165"/>
      <c r="AC807" s="165"/>
      <c r="AD807" s="165"/>
      <c r="AE807" s="165"/>
      <c r="AF807" s="165"/>
      <c r="AG807" s="165"/>
      <c r="AH807" s="165"/>
      <c r="AI807" s="165"/>
      <c r="AJ807" s="165"/>
      <c r="AK807" s="165"/>
      <c r="AL807" s="165"/>
      <c r="AM807" s="165"/>
    </row>
    <row r="808" spans="1:39">
      <c r="A808" s="100"/>
      <c r="B808" s="100"/>
      <c r="C808" s="100"/>
      <c r="D808" s="179"/>
      <c r="E808" s="165"/>
      <c r="F808" s="165"/>
      <c r="G808" s="206" t="s">
        <v>35</v>
      </c>
      <c r="H808" s="121"/>
      <c r="I808" s="165"/>
      <c r="J808" s="165"/>
      <c r="K808" s="204"/>
      <c r="L808" s="197"/>
      <c r="M808" s="477"/>
      <c r="N808" s="164"/>
      <c r="O808" s="164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  <c r="AA808" s="165"/>
      <c r="AB808" s="165"/>
      <c r="AC808" s="165"/>
      <c r="AD808" s="165"/>
      <c r="AE808" s="165"/>
      <c r="AF808" s="165"/>
      <c r="AG808" s="165"/>
      <c r="AH808" s="165"/>
      <c r="AI808" s="165"/>
      <c r="AJ808" s="165"/>
      <c r="AK808" s="165"/>
      <c r="AL808" s="165"/>
      <c r="AM808" s="165"/>
    </row>
    <row r="809" spans="1:39">
      <c r="A809" s="100"/>
      <c r="B809" s="100"/>
      <c r="C809" s="100"/>
      <c r="D809" s="179"/>
      <c r="E809" s="165"/>
      <c r="F809" s="165"/>
      <c r="G809" s="205"/>
      <c r="H809" s="121"/>
      <c r="I809" s="165"/>
      <c r="J809" s="165"/>
      <c r="K809" s="204"/>
      <c r="L809" s="197"/>
      <c r="M809" s="477"/>
      <c r="N809" s="164"/>
      <c r="O809" s="164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  <c r="AA809" s="165"/>
      <c r="AB809" s="165"/>
      <c r="AC809" s="165"/>
      <c r="AD809" s="165"/>
      <c r="AE809" s="165"/>
      <c r="AF809" s="165"/>
      <c r="AG809" s="165"/>
      <c r="AH809" s="165"/>
      <c r="AI809" s="165"/>
      <c r="AJ809" s="165"/>
      <c r="AK809" s="165"/>
      <c r="AL809" s="165"/>
      <c r="AM809" s="165"/>
    </row>
    <row r="810" spans="1:39">
      <c r="A810" s="100"/>
      <c r="B810" s="100"/>
      <c r="C810" s="100"/>
      <c r="D810" s="179" t="str">
        <f t="shared" ref="D810:D815" si="789">$G$527</f>
        <v>Motor vehicles</v>
      </c>
      <c r="E810" s="165" t="str">
        <f>H779</f>
        <v>Terminal Domestic - Turbo Prop</v>
      </c>
      <c r="F810" s="165"/>
      <c r="G810" s="165" t="s">
        <v>80</v>
      </c>
      <c r="H810" s="121"/>
      <c r="I810" s="165"/>
      <c r="J810" s="165"/>
      <c r="K810" s="530">
        <f>K815</f>
        <v>0</v>
      </c>
      <c r="L810" s="530">
        <f>L815</f>
        <v>0</v>
      </c>
      <c r="M810" s="531"/>
      <c r="N810" s="164"/>
      <c r="O810" s="164">
        <f t="shared" ref="O810:Y810" si="790">N815</f>
        <v>0</v>
      </c>
      <c r="P810" s="164">
        <f t="shared" si="790"/>
        <v>0</v>
      </c>
      <c r="Q810" s="164">
        <f t="shared" si="790"/>
        <v>0</v>
      </c>
      <c r="R810" s="164">
        <f t="shared" si="790"/>
        <v>0</v>
      </c>
      <c r="S810" s="164">
        <f t="shared" si="790"/>
        <v>0</v>
      </c>
      <c r="T810" s="164">
        <f t="shared" si="790"/>
        <v>0</v>
      </c>
      <c r="U810" s="164">
        <f t="shared" si="790"/>
        <v>0</v>
      </c>
      <c r="V810" s="164">
        <f t="shared" si="790"/>
        <v>0</v>
      </c>
      <c r="W810" s="164">
        <f t="shared" si="790"/>
        <v>0</v>
      </c>
      <c r="X810" s="164">
        <f t="shared" si="790"/>
        <v>0</v>
      </c>
      <c r="Y810" s="164">
        <f t="shared" si="790"/>
        <v>0</v>
      </c>
      <c r="Z810" s="164">
        <f t="shared" ref="Z810:AM810" si="791">Y815</f>
        <v>0</v>
      </c>
      <c r="AA810" s="164">
        <f t="shared" si="791"/>
        <v>0</v>
      </c>
      <c r="AB810" s="164">
        <f t="shared" si="791"/>
        <v>0</v>
      </c>
      <c r="AC810" s="164">
        <f t="shared" si="791"/>
        <v>0</v>
      </c>
      <c r="AD810" s="164">
        <f t="shared" si="791"/>
        <v>0</v>
      </c>
      <c r="AE810" s="164">
        <f t="shared" si="791"/>
        <v>0</v>
      </c>
      <c r="AF810" s="164">
        <f t="shared" si="791"/>
        <v>0</v>
      </c>
      <c r="AG810" s="164">
        <f t="shared" si="791"/>
        <v>0</v>
      </c>
      <c r="AH810" s="164">
        <f t="shared" si="791"/>
        <v>0</v>
      </c>
      <c r="AI810" s="164">
        <f t="shared" si="791"/>
        <v>0</v>
      </c>
      <c r="AJ810" s="164">
        <f t="shared" si="791"/>
        <v>0</v>
      </c>
      <c r="AK810" s="164">
        <f t="shared" si="791"/>
        <v>0</v>
      </c>
      <c r="AL810" s="164">
        <f t="shared" si="791"/>
        <v>0</v>
      </c>
      <c r="AM810" s="164">
        <f t="shared" si="791"/>
        <v>0</v>
      </c>
    </row>
    <row r="811" spans="1:39">
      <c r="A811" s="100"/>
      <c r="B811" s="100"/>
      <c r="C811" s="100"/>
      <c r="D811" s="179" t="str">
        <f t="shared" si="789"/>
        <v>Motor vehicles</v>
      </c>
      <c r="E811" s="165" t="str">
        <f>H779</f>
        <v>Terminal Domestic - Turbo Prop</v>
      </c>
      <c r="F811" s="165"/>
      <c r="G811" s="165" t="s">
        <v>83</v>
      </c>
      <c r="H811" s="121"/>
      <c r="I811" s="165"/>
      <c r="J811" s="165"/>
      <c r="K811" s="532"/>
      <c r="L811" s="532"/>
      <c r="M811" s="533"/>
      <c r="N811" s="164"/>
      <c r="O811" s="164">
        <f t="shared" ref="O811:X811" si="792">SUMIFS(O$63:O$80,$J$63:$J$80,$G808,$K$63:$K$80,$G811)</f>
        <v>0</v>
      </c>
      <c r="P811" s="164">
        <f t="shared" si="792"/>
        <v>0</v>
      </c>
      <c r="Q811" s="164">
        <f t="shared" si="792"/>
        <v>0</v>
      </c>
      <c r="R811" s="164">
        <f t="shared" si="792"/>
        <v>0</v>
      </c>
      <c r="S811" s="164">
        <f t="shared" si="792"/>
        <v>0</v>
      </c>
      <c r="T811" s="164">
        <f t="shared" si="792"/>
        <v>0</v>
      </c>
      <c r="U811" s="164">
        <f t="shared" si="792"/>
        <v>0</v>
      </c>
      <c r="V811" s="164">
        <f t="shared" si="792"/>
        <v>0</v>
      </c>
      <c r="W811" s="164">
        <f t="shared" si="792"/>
        <v>0</v>
      </c>
      <c r="X811" s="164">
        <f t="shared" si="792"/>
        <v>0</v>
      </c>
      <c r="Y811" s="164">
        <f>SUMIFS(Y$63:Y$80,$J$63:$J$80,$G808,$K$63:$K$80,$G811)</f>
        <v>0</v>
      </c>
      <c r="Z811" s="164">
        <f t="shared" ref="Z811:AM811" si="793">SUMIFS(Z$63:Z$80,$J$63:$J$80,$G808,$K$63:$K$80,$G811)</f>
        <v>0</v>
      </c>
      <c r="AA811" s="164">
        <f t="shared" si="793"/>
        <v>0</v>
      </c>
      <c r="AB811" s="164">
        <f t="shared" si="793"/>
        <v>0</v>
      </c>
      <c r="AC811" s="164">
        <f t="shared" si="793"/>
        <v>0</v>
      </c>
      <c r="AD811" s="164">
        <f t="shared" si="793"/>
        <v>0</v>
      </c>
      <c r="AE811" s="164">
        <f t="shared" si="793"/>
        <v>0</v>
      </c>
      <c r="AF811" s="164">
        <f t="shared" si="793"/>
        <v>0</v>
      </c>
      <c r="AG811" s="164">
        <f t="shared" si="793"/>
        <v>0</v>
      </c>
      <c r="AH811" s="164">
        <f t="shared" si="793"/>
        <v>0</v>
      </c>
      <c r="AI811" s="164">
        <f t="shared" si="793"/>
        <v>0</v>
      </c>
      <c r="AJ811" s="164">
        <f t="shared" si="793"/>
        <v>0</v>
      </c>
      <c r="AK811" s="164">
        <f t="shared" si="793"/>
        <v>0</v>
      </c>
      <c r="AL811" s="164">
        <f t="shared" si="793"/>
        <v>0</v>
      </c>
      <c r="AM811" s="164">
        <f t="shared" si="793"/>
        <v>0</v>
      </c>
    </row>
    <row r="812" spans="1:39">
      <c r="A812" s="100"/>
      <c r="B812" s="100"/>
      <c r="C812" s="100"/>
      <c r="D812" s="179" t="str">
        <f t="shared" si="789"/>
        <v>Motor vehicles</v>
      </c>
      <c r="E812" s="165" t="str">
        <f>H779</f>
        <v>Terminal Domestic - Turbo Prop</v>
      </c>
      <c r="F812" s="165"/>
      <c r="G812" s="165" t="s">
        <v>78</v>
      </c>
      <c r="H812" s="121"/>
      <c r="I812" s="165"/>
      <c r="J812" s="165"/>
      <c r="K812" s="197"/>
      <c r="L812" s="197"/>
      <c r="M812" s="477"/>
      <c r="N812" s="164"/>
      <c r="O812" s="164">
        <f t="shared" ref="O812:X812" si="794">O431+SUMIFS(O$63:O$80,$J$63:$J$80,$G808,$K$63:$K$80,$G812)</f>
        <v>0</v>
      </c>
      <c r="P812" s="164">
        <f t="shared" si="794"/>
        <v>0</v>
      </c>
      <c r="Q812" s="164">
        <f t="shared" si="794"/>
        <v>0</v>
      </c>
      <c r="R812" s="164">
        <f t="shared" si="794"/>
        <v>0</v>
      </c>
      <c r="S812" s="164">
        <f t="shared" si="794"/>
        <v>0</v>
      </c>
      <c r="T812" s="164">
        <f t="shared" si="794"/>
        <v>0</v>
      </c>
      <c r="U812" s="164">
        <f t="shared" si="794"/>
        <v>0</v>
      </c>
      <c r="V812" s="164">
        <f t="shared" si="794"/>
        <v>0</v>
      </c>
      <c r="W812" s="164">
        <f t="shared" si="794"/>
        <v>0</v>
      </c>
      <c r="X812" s="164">
        <f t="shared" si="794"/>
        <v>0</v>
      </c>
      <c r="Y812" s="164">
        <f>Y431+SUMIFS(Y$63:Y$80,$J$63:$J$80,$G808,$K$63:$K$80,$G812)</f>
        <v>0</v>
      </c>
      <c r="Z812" s="164">
        <f t="shared" ref="Z812:AM812" si="795">Z431+SUMIFS(Z$63:Z$80,$J$63:$J$80,$G808,$K$63:$K$80,$G812)</f>
        <v>0</v>
      </c>
      <c r="AA812" s="164">
        <f t="shared" si="795"/>
        <v>0</v>
      </c>
      <c r="AB812" s="164">
        <f t="shared" si="795"/>
        <v>0</v>
      </c>
      <c r="AC812" s="164">
        <f t="shared" si="795"/>
        <v>0</v>
      </c>
      <c r="AD812" s="164">
        <f t="shared" si="795"/>
        <v>0</v>
      </c>
      <c r="AE812" s="164">
        <f t="shared" si="795"/>
        <v>0</v>
      </c>
      <c r="AF812" s="164">
        <f t="shared" si="795"/>
        <v>0</v>
      </c>
      <c r="AG812" s="164">
        <f t="shared" si="795"/>
        <v>0</v>
      </c>
      <c r="AH812" s="164">
        <f t="shared" si="795"/>
        <v>0</v>
      </c>
      <c r="AI812" s="164">
        <f t="shared" si="795"/>
        <v>0</v>
      </c>
      <c r="AJ812" s="164">
        <f t="shared" si="795"/>
        <v>0</v>
      </c>
      <c r="AK812" s="164">
        <f t="shared" si="795"/>
        <v>0</v>
      </c>
      <c r="AL812" s="164">
        <f t="shared" si="795"/>
        <v>0</v>
      </c>
      <c r="AM812" s="164">
        <f t="shared" si="795"/>
        <v>0</v>
      </c>
    </row>
    <row r="813" spans="1:39">
      <c r="A813" s="100"/>
      <c r="B813" s="100"/>
      <c r="C813" s="100"/>
      <c r="D813" s="179" t="str">
        <f t="shared" si="789"/>
        <v>Motor vehicles</v>
      </c>
      <c r="E813" s="165" t="str">
        <f>H779</f>
        <v>Terminal Domestic - Turbo Prop</v>
      </c>
      <c r="F813" s="165"/>
      <c r="G813" s="165" t="s">
        <v>88</v>
      </c>
      <c r="H813" s="121"/>
      <c r="I813" s="165"/>
      <c r="J813" s="165"/>
      <c r="K813" s="197"/>
      <c r="L813" s="197"/>
      <c r="M813" s="477"/>
      <c r="N813" s="230"/>
      <c r="O813" s="230"/>
      <c r="P813" s="230"/>
      <c r="Q813" s="230"/>
      <c r="R813" s="230"/>
      <c r="S813" s="230"/>
      <c r="T813" s="230"/>
      <c r="U813" s="230"/>
      <c r="V813" s="230"/>
      <c r="W813" s="230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</row>
    <row r="814" spans="1:39">
      <c r="A814" s="100"/>
      <c r="B814" s="100"/>
      <c r="C814" s="100"/>
      <c r="D814" s="179" t="str">
        <f t="shared" si="789"/>
        <v>Motor vehicles</v>
      </c>
      <c r="E814" s="165" t="str">
        <f>H779</f>
        <v>Terminal Domestic - Turbo Prop</v>
      </c>
      <c r="F814" s="165"/>
      <c r="G814" s="165" t="s">
        <v>87</v>
      </c>
      <c r="H814" s="121"/>
      <c r="I814" s="165"/>
      <c r="J814" s="165"/>
      <c r="K814" s="197"/>
      <c r="L814" s="197"/>
      <c r="M814" s="477"/>
      <c r="N814" s="164"/>
      <c r="O814" s="164">
        <f t="shared" ref="O814:X814" si="796">IF(N810&gt;0,N812/AVERAGE(N810,N815)*O813,0)</f>
        <v>0</v>
      </c>
      <c r="P814" s="164">
        <f t="shared" si="796"/>
        <v>0</v>
      </c>
      <c r="Q814" s="164">
        <f t="shared" si="796"/>
        <v>0</v>
      </c>
      <c r="R814" s="164">
        <f t="shared" si="796"/>
        <v>0</v>
      </c>
      <c r="S814" s="164">
        <f t="shared" si="796"/>
        <v>0</v>
      </c>
      <c r="T814" s="164">
        <f t="shared" si="796"/>
        <v>0</v>
      </c>
      <c r="U814" s="164">
        <f t="shared" si="796"/>
        <v>0</v>
      </c>
      <c r="V814" s="164">
        <f t="shared" si="796"/>
        <v>0</v>
      </c>
      <c r="W814" s="164">
        <f t="shared" si="796"/>
        <v>0</v>
      </c>
      <c r="X814" s="164">
        <f t="shared" si="796"/>
        <v>0</v>
      </c>
      <c r="Y814" s="164">
        <f t="shared" ref="Y814:AM814" si="797">IF(X810&gt;0,X812/AVERAGE(X810,X815)*Y813,0)</f>
        <v>0</v>
      </c>
      <c r="Z814" s="164">
        <f t="shared" si="797"/>
        <v>0</v>
      </c>
      <c r="AA814" s="164">
        <f t="shared" si="797"/>
        <v>0</v>
      </c>
      <c r="AB814" s="164">
        <f t="shared" si="797"/>
        <v>0</v>
      </c>
      <c r="AC814" s="164">
        <f t="shared" si="797"/>
        <v>0</v>
      </c>
      <c r="AD814" s="164">
        <f t="shared" si="797"/>
        <v>0</v>
      </c>
      <c r="AE814" s="164">
        <f t="shared" si="797"/>
        <v>0</v>
      </c>
      <c r="AF814" s="164">
        <f t="shared" si="797"/>
        <v>0</v>
      </c>
      <c r="AG814" s="164">
        <f t="shared" si="797"/>
        <v>0</v>
      </c>
      <c r="AH814" s="164">
        <f t="shared" si="797"/>
        <v>0</v>
      </c>
      <c r="AI814" s="164">
        <f t="shared" si="797"/>
        <v>0</v>
      </c>
      <c r="AJ814" s="164">
        <f t="shared" si="797"/>
        <v>0</v>
      </c>
      <c r="AK814" s="164">
        <f t="shared" si="797"/>
        <v>0</v>
      </c>
      <c r="AL814" s="164">
        <f t="shared" si="797"/>
        <v>0</v>
      </c>
      <c r="AM814" s="164">
        <f t="shared" si="797"/>
        <v>0</v>
      </c>
    </row>
    <row r="815" spans="1:39">
      <c r="A815" s="100"/>
      <c r="B815" s="100"/>
      <c r="C815" s="100"/>
      <c r="D815" s="179" t="str">
        <f t="shared" si="789"/>
        <v>Motor vehicles</v>
      </c>
      <c r="E815" s="165" t="str">
        <f>H779</f>
        <v>Terminal Domestic - Turbo Prop</v>
      </c>
      <c r="F815" s="165"/>
      <c r="G815" s="200" t="s">
        <v>76</v>
      </c>
      <c r="H815" s="201"/>
      <c r="I815" s="200"/>
      <c r="J815" s="200"/>
      <c r="K815" s="199">
        <f>K433</f>
        <v>0</v>
      </c>
      <c r="L815" s="199">
        <f>L433</f>
        <v>0</v>
      </c>
      <c r="M815" s="527">
        <f>M433</f>
        <v>0</v>
      </c>
      <c r="N815" s="198">
        <f>N433</f>
        <v>0</v>
      </c>
      <c r="O815" s="198">
        <f t="shared" ref="O815:AM815" si="798">SUM(O810:O811,O813)-SUM(O812,O814)</f>
        <v>0</v>
      </c>
      <c r="P815" s="198">
        <f t="shared" si="798"/>
        <v>0</v>
      </c>
      <c r="Q815" s="198">
        <f t="shared" si="798"/>
        <v>0</v>
      </c>
      <c r="R815" s="198">
        <f t="shared" si="798"/>
        <v>0</v>
      </c>
      <c r="S815" s="198">
        <f t="shared" si="798"/>
        <v>0</v>
      </c>
      <c r="T815" s="198">
        <f t="shared" si="798"/>
        <v>0</v>
      </c>
      <c r="U815" s="198">
        <f t="shared" si="798"/>
        <v>0</v>
      </c>
      <c r="V815" s="198">
        <f t="shared" si="798"/>
        <v>0</v>
      </c>
      <c r="W815" s="198">
        <f t="shared" si="798"/>
        <v>0</v>
      </c>
      <c r="X815" s="198">
        <f t="shared" si="798"/>
        <v>0</v>
      </c>
      <c r="Y815" s="198">
        <f t="shared" si="798"/>
        <v>0</v>
      </c>
      <c r="Z815" s="198">
        <f t="shared" si="798"/>
        <v>0</v>
      </c>
      <c r="AA815" s="198">
        <f t="shared" si="798"/>
        <v>0</v>
      </c>
      <c r="AB815" s="198">
        <f t="shared" si="798"/>
        <v>0</v>
      </c>
      <c r="AC815" s="198">
        <f t="shared" si="798"/>
        <v>0</v>
      </c>
      <c r="AD815" s="198">
        <f t="shared" si="798"/>
        <v>0</v>
      </c>
      <c r="AE815" s="198">
        <f t="shared" si="798"/>
        <v>0</v>
      </c>
      <c r="AF815" s="198">
        <f t="shared" si="798"/>
        <v>0</v>
      </c>
      <c r="AG815" s="198">
        <f t="shared" si="798"/>
        <v>0</v>
      </c>
      <c r="AH815" s="198">
        <f t="shared" si="798"/>
        <v>0</v>
      </c>
      <c r="AI815" s="198">
        <f t="shared" si="798"/>
        <v>0</v>
      </c>
      <c r="AJ815" s="198">
        <f t="shared" si="798"/>
        <v>0</v>
      </c>
      <c r="AK815" s="198">
        <f t="shared" si="798"/>
        <v>0</v>
      </c>
      <c r="AL815" s="198">
        <f t="shared" si="798"/>
        <v>0</v>
      </c>
      <c r="AM815" s="198">
        <f t="shared" si="798"/>
        <v>0</v>
      </c>
    </row>
    <row r="816" spans="1:39">
      <c r="A816" s="100"/>
      <c r="B816" s="100"/>
      <c r="C816" s="100"/>
      <c r="D816" s="179"/>
      <c r="E816" s="165"/>
      <c r="F816" s="165"/>
      <c r="G816" s="205"/>
      <c r="H816" s="121"/>
      <c r="I816" s="165"/>
      <c r="J816" s="165"/>
      <c r="K816" s="204"/>
      <c r="L816" s="197"/>
      <c r="M816" s="477"/>
      <c r="N816" s="164"/>
      <c r="O816" s="164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  <c r="AA816" s="165"/>
      <c r="AB816" s="165"/>
      <c r="AC816" s="165"/>
      <c r="AD816" s="165"/>
      <c r="AE816" s="165"/>
      <c r="AF816" s="165"/>
      <c r="AG816" s="165"/>
      <c r="AH816" s="165"/>
      <c r="AI816" s="165"/>
      <c r="AJ816" s="165"/>
      <c r="AK816" s="165"/>
      <c r="AL816" s="165"/>
      <c r="AM816" s="165"/>
    </row>
    <row r="817" spans="1:39">
      <c r="A817" s="100"/>
      <c r="B817" s="100"/>
      <c r="C817" s="100"/>
      <c r="D817" s="179"/>
      <c r="E817" s="165"/>
      <c r="F817" s="165"/>
      <c r="G817" s="206" t="s">
        <v>34</v>
      </c>
      <c r="H817" s="121"/>
      <c r="I817" s="165"/>
      <c r="J817" s="165"/>
      <c r="K817" s="204"/>
      <c r="L817" s="197"/>
      <c r="M817" s="477"/>
      <c r="N817" s="164"/>
      <c r="O817" s="164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  <c r="AA817" s="165"/>
      <c r="AB817" s="165"/>
      <c r="AC817" s="165"/>
      <c r="AD817" s="165"/>
      <c r="AE817" s="165"/>
      <c r="AF817" s="165"/>
      <c r="AG817" s="165"/>
      <c r="AH817" s="165"/>
      <c r="AI817" s="165"/>
      <c r="AJ817" s="165"/>
      <c r="AK817" s="165"/>
      <c r="AL817" s="165"/>
      <c r="AM817" s="165"/>
    </row>
    <row r="818" spans="1:39">
      <c r="A818" s="100"/>
      <c r="B818" s="100"/>
      <c r="C818" s="100"/>
      <c r="D818" s="179"/>
      <c r="E818" s="165"/>
      <c r="F818" s="165"/>
      <c r="G818" s="205"/>
      <c r="H818" s="121"/>
      <c r="I818" s="165"/>
      <c r="J818" s="165"/>
      <c r="K818" s="204"/>
      <c r="L818" s="197"/>
      <c r="M818" s="477"/>
      <c r="N818" s="164"/>
      <c r="O818" s="164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  <c r="AA818" s="165"/>
      <c r="AB818" s="165"/>
      <c r="AC818" s="165"/>
      <c r="AD818" s="165"/>
      <c r="AE818" s="165"/>
      <c r="AF818" s="165"/>
      <c r="AG818" s="165"/>
      <c r="AH818" s="165"/>
      <c r="AI818" s="165"/>
      <c r="AJ818" s="165"/>
      <c r="AK818" s="165"/>
      <c r="AL818" s="165"/>
      <c r="AM818" s="165"/>
    </row>
    <row r="819" spans="1:39">
      <c r="A819" s="100"/>
      <c r="B819" s="100"/>
      <c r="C819" s="100"/>
      <c r="D819" s="179" t="s">
        <v>34</v>
      </c>
      <c r="E819" s="165" t="str">
        <f>H779</f>
        <v>Terminal Domestic - Turbo Prop</v>
      </c>
      <c r="F819" s="165"/>
      <c r="G819" s="165" t="s">
        <v>80</v>
      </c>
      <c r="H819" s="121"/>
      <c r="I819" s="165"/>
      <c r="J819" s="165"/>
      <c r="K819" s="530">
        <f>K824</f>
        <v>0</v>
      </c>
      <c r="L819" s="530">
        <f>L824</f>
        <v>0</v>
      </c>
      <c r="M819" s="531"/>
      <c r="N819" s="164"/>
      <c r="O819" s="164">
        <f t="shared" ref="O819:Y819" si="799">N824</f>
        <v>41333.054821975391</v>
      </c>
      <c r="P819" s="164">
        <f t="shared" si="799"/>
        <v>47421.27518590782</v>
      </c>
      <c r="Q819" s="164">
        <f t="shared" si="799"/>
        <v>52899.161351382332</v>
      </c>
      <c r="R819" s="164">
        <f t="shared" si="799"/>
        <v>56723.200824271487</v>
      </c>
      <c r="S819" s="164">
        <f t="shared" si="799"/>
        <v>59340.984663185591</v>
      </c>
      <c r="T819" s="164">
        <f t="shared" si="799"/>
        <v>60949.394731471817</v>
      </c>
      <c r="U819" s="164">
        <f t="shared" si="799"/>
        <v>51057.188771634042</v>
      </c>
      <c r="V819" s="164">
        <f t="shared" si="799"/>
        <v>41164.982811796268</v>
      </c>
      <c r="W819" s="164">
        <f t="shared" si="799"/>
        <v>31272.776851958493</v>
      </c>
      <c r="X819" s="164">
        <f t="shared" si="799"/>
        <v>21380.570892120719</v>
      </c>
      <c r="Y819" s="164">
        <f t="shared" si="799"/>
        <v>11488.364932282944</v>
      </c>
      <c r="Z819" s="164">
        <f t="shared" ref="Z819:AM819" si="800">Y824</f>
        <v>6865.1895486571502</v>
      </c>
      <c r="AA819" s="164">
        <f t="shared" si="800"/>
        <v>3436.1160252187447</v>
      </c>
      <c r="AB819" s="164">
        <f t="shared" si="800"/>
        <v>1150.0616028123968</v>
      </c>
      <c r="AC819" s="164">
        <f t="shared" si="800"/>
        <v>-3.637978807091713E-12</v>
      </c>
      <c r="AD819" s="164">
        <f t="shared" si="800"/>
        <v>-3.637978807091713E-12</v>
      </c>
      <c r="AE819" s="164">
        <f t="shared" si="800"/>
        <v>-3.637978807091713E-12</v>
      </c>
      <c r="AF819" s="164">
        <f t="shared" si="800"/>
        <v>-3.637978807091713E-12</v>
      </c>
      <c r="AG819" s="164">
        <f t="shared" si="800"/>
        <v>-3.637978807091713E-12</v>
      </c>
      <c r="AH819" s="164">
        <f t="shared" si="800"/>
        <v>-3.637978807091713E-12</v>
      </c>
      <c r="AI819" s="164">
        <f t="shared" si="800"/>
        <v>-3.637978807091713E-12</v>
      </c>
      <c r="AJ819" s="164">
        <f t="shared" si="800"/>
        <v>-3.637978807091713E-12</v>
      </c>
      <c r="AK819" s="164">
        <f t="shared" si="800"/>
        <v>-3.637978807091713E-12</v>
      </c>
      <c r="AL819" s="164">
        <f t="shared" si="800"/>
        <v>-3.637978807091713E-12</v>
      </c>
      <c r="AM819" s="164">
        <f t="shared" si="800"/>
        <v>-3.637978807091713E-12</v>
      </c>
    </row>
    <row r="820" spans="1:39">
      <c r="A820" s="100"/>
      <c r="B820" s="100"/>
      <c r="C820" s="100"/>
      <c r="D820" s="179" t="s">
        <v>34</v>
      </c>
      <c r="E820" s="165" t="str">
        <f>H779</f>
        <v>Terminal Domestic - Turbo Prop</v>
      </c>
      <c r="F820" s="165"/>
      <c r="G820" s="165" t="s">
        <v>83</v>
      </c>
      <c r="H820" s="121"/>
      <c r="I820" s="165"/>
      <c r="J820" s="165"/>
      <c r="K820" s="532"/>
      <c r="L820" s="532"/>
      <c r="M820" s="533"/>
      <c r="N820" s="164"/>
      <c r="O820" s="164">
        <f t="shared" ref="O820:X820" si="801">SUMIFS(O$63:O$80,$J$63:$J$80,$G817,$K$63:$K$80,$G820)</f>
        <v>11357.250940144413</v>
      </c>
      <c r="P820" s="164">
        <f t="shared" si="801"/>
        <v>11941.018601873879</v>
      </c>
      <c r="Q820" s="164">
        <f t="shared" si="801"/>
        <v>11430.191010320579</v>
      </c>
      <c r="R820" s="164">
        <f t="shared" si="801"/>
        <v>11359.928195939474</v>
      </c>
      <c r="S820" s="164">
        <f t="shared" si="801"/>
        <v>11500.616028124005</v>
      </c>
      <c r="T820" s="164">
        <f t="shared" si="801"/>
        <v>0</v>
      </c>
      <c r="U820" s="164">
        <f t="shared" si="801"/>
        <v>0</v>
      </c>
      <c r="V820" s="164">
        <f t="shared" si="801"/>
        <v>0</v>
      </c>
      <c r="W820" s="164">
        <f t="shared" si="801"/>
        <v>0</v>
      </c>
      <c r="X820" s="164">
        <f t="shared" si="801"/>
        <v>0</v>
      </c>
      <c r="Y820" s="164">
        <f>SUMIFS(Y$63:Y$80,$J$63:$J$80,$G817,$K$63:$K$80,$G820)</f>
        <v>0</v>
      </c>
      <c r="Z820" s="164">
        <f t="shared" ref="Z820:AM820" si="802">SUMIFS(Z$63:Z$80,$J$63:$J$80,$G817,$K$63:$K$80,$G820)</f>
        <v>0</v>
      </c>
      <c r="AA820" s="164">
        <f t="shared" si="802"/>
        <v>0</v>
      </c>
      <c r="AB820" s="164">
        <f t="shared" si="802"/>
        <v>0</v>
      </c>
      <c r="AC820" s="164">
        <f t="shared" si="802"/>
        <v>0</v>
      </c>
      <c r="AD820" s="164">
        <f t="shared" si="802"/>
        <v>0</v>
      </c>
      <c r="AE820" s="164">
        <f t="shared" si="802"/>
        <v>0</v>
      </c>
      <c r="AF820" s="164">
        <f t="shared" si="802"/>
        <v>0</v>
      </c>
      <c r="AG820" s="164">
        <f t="shared" si="802"/>
        <v>0</v>
      </c>
      <c r="AH820" s="164">
        <f t="shared" si="802"/>
        <v>0</v>
      </c>
      <c r="AI820" s="164">
        <f t="shared" si="802"/>
        <v>0</v>
      </c>
      <c r="AJ820" s="164">
        <f t="shared" si="802"/>
        <v>0</v>
      </c>
      <c r="AK820" s="164">
        <f t="shared" si="802"/>
        <v>0</v>
      </c>
      <c r="AL820" s="164">
        <f t="shared" si="802"/>
        <v>0</v>
      </c>
      <c r="AM820" s="164">
        <f t="shared" si="802"/>
        <v>0</v>
      </c>
    </row>
    <row r="821" spans="1:39">
      <c r="A821" s="100"/>
      <c r="B821" s="100"/>
      <c r="C821" s="100"/>
      <c r="D821" s="179" t="s">
        <v>34</v>
      </c>
      <c r="E821" s="165" t="str">
        <f>H779</f>
        <v>Terminal Domestic - Turbo Prop</v>
      </c>
      <c r="F821" s="165"/>
      <c r="G821" s="165" t="s">
        <v>78</v>
      </c>
      <c r="H821" s="121"/>
      <c r="I821" s="165"/>
      <c r="J821" s="165"/>
      <c r="K821" s="197"/>
      <c r="L821" s="197"/>
      <c r="M821" s="477"/>
      <c r="N821" s="164"/>
      <c r="O821" s="164">
        <f t="shared" ref="O821:X821" si="803">O440+SUMIFS(O$63:O$80,$J$63:$J$80,$G817,$K$63:$K$80,$G821)</f>
        <v>5269.0305762119806</v>
      </c>
      <c r="P821" s="164">
        <f t="shared" si="803"/>
        <v>6463.1324363993681</v>
      </c>
      <c r="Q821" s="164">
        <f t="shared" si="803"/>
        <v>7606.1515374314267</v>
      </c>
      <c r="R821" s="164">
        <f t="shared" si="803"/>
        <v>8742.1443570253741</v>
      </c>
      <c r="S821" s="164">
        <f t="shared" si="803"/>
        <v>9892.2059598377746</v>
      </c>
      <c r="T821" s="164">
        <f t="shared" si="803"/>
        <v>9892.2059598377746</v>
      </c>
      <c r="U821" s="164">
        <f t="shared" si="803"/>
        <v>9892.2059598377746</v>
      </c>
      <c r="V821" s="164">
        <f t="shared" si="803"/>
        <v>9892.2059598377746</v>
      </c>
      <c r="W821" s="164">
        <f t="shared" si="803"/>
        <v>9892.2059598377746</v>
      </c>
      <c r="X821" s="164">
        <f t="shared" si="803"/>
        <v>9892.2059598377746</v>
      </c>
      <c r="Y821" s="164">
        <f>Y440+SUMIFS(Y$63:Y$80,$J$63:$J$80,$G817,$K$63:$K$80,$G821)</f>
        <v>4623.175383625794</v>
      </c>
      <c r="Z821" s="164">
        <f t="shared" ref="Z821:AM821" si="804">Z440+SUMIFS(Z$63:Z$80,$J$63:$J$80,$G817,$K$63:$K$80,$G821)</f>
        <v>3429.0735234384056</v>
      </c>
      <c r="AA821" s="164">
        <f t="shared" si="804"/>
        <v>2286.0544224063478</v>
      </c>
      <c r="AB821" s="164">
        <f t="shared" si="804"/>
        <v>1150.0616028124005</v>
      </c>
      <c r="AC821" s="164">
        <f t="shared" si="804"/>
        <v>0</v>
      </c>
      <c r="AD821" s="164">
        <f t="shared" si="804"/>
        <v>0</v>
      </c>
      <c r="AE821" s="164">
        <f t="shared" si="804"/>
        <v>0</v>
      </c>
      <c r="AF821" s="164">
        <f t="shared" si="804"/>
        <v>0</v>
      </c>
      <c r="AG821" s="164">
        <f t="shared" si="804"/>
        <v>0</v>
      </c>
      <c r="AH821" s="164">
        <f t="shared" si="804"/>
        <v>0</v>
      </c>
      <c r="AI821" s="164">
        <f t="shared" si="804"/>
        <v>0</v>
      </c>
      <c r="AJ821" s="164">
        <f t="shared" si="804"/>
        <v>0</v>
      </c>
      <c r="AK821" s="164">
        <f t="shared" si="804"/>
        <v>0</v>
      </c>
      <c r="AL821" s="164">
        <f t="shared" si="804"/>
        <v>0</v>
      </c>
      <c r="AM821" s="164">
        <f t="shared" si="804"/>
        <v>0</v>
      </c>
    </row>
    <row r="822" spans="1:39">
      <c r="A822" s="100"/>
      <c r="B822" s="100"/>
      <c r="C822" s="100"/>
      <c r="D822" s="179" t="s">
        <v>34</v>
      </c>
      <c r="E822" s="165" t="str">
        <f>H779</f>
        <v>Terminal Domestic - Turbo Prop</v>
      </c>
      <c r="F822" s="165"/>
      <c r="G822" s="165" t="s">
        <v>88</v>
      </c>
      <c r="H822" s="121"/>
      <c r="I822" s="165"/>
      <c r="J822" s="165"/>
      <c r="K822" s="197"/>
      <c r="L822" s="197"/>
      <c r="M822" s="477"/>
      <c r="N822" s="230"/>
      <c r="O822" s="230"/>
      <c r="P822" s="230"/>
      <c r="Q822" s="230"/>
      <c r="R822" s="230"/>
      <c r="S822" s="230"/>
      <c r="T822" s="230"/>
      <c r="U822" s="230"/>
      <c r="V822" s="230"/>
      <c r="W822" s="230"/>
      <c r="X822" s="230"/>
      <c r="Y822" s="230"/>
      <c r="Z822" s="230"/>
      <c r="AA822" s="230"/>
      <c r="AB822" s="230"/>
      <c r="AC822" s="230"/>
      <c r="AD822" s="230"/>
      <c r="AE822" s="230"/>
      <c r="AF822" s="230"/>
      <c r="AG822" s="230"/>
      <c r="AH822" s="230"/>
      <c r="AI822" s="230"/>
      <c r="AJ822" s="230"/>
      <c r="AK822" s="230"/>
      <c r="AL822" s="230"/>
      <c r="AM822" s="230"/>
    </row>
    <row r="823" spans="1:39">
      <c r="A823" s="100"/>
      <c r="B823" s="100"/>
      <c r="C823" s="100"/>
      <c r="D823" s="179" t="s">
        <v>34</v>
      </c>
      <c r="E823" s="165" t="str">
        <f>H779</f>
        <v>Terminal Domestic - Turbo Prop</v>
      </c>
      <c r="F823" s="165"/>
      <c r="G823" s="165" t="s">
        <v>87</v>
      </c>
      <c r="H823" s="121"/>
      <c r="I823" s="165"/>
      <c r="J823" s="165"/>
      <c r="K823" s="197"/>
      <c r="L823" s="197"/>
      <c r="M823" s="477"/>
      <c r="N823" s="164"/>
      <c r="O823" s="164">
        <f t="shared" ref="O823:X823" si="805">IF(N819&gt;0,N821/AVERAGE(N819,N824)*O822,0)</f>
        <v>0</v>
      </c>
      <c r="P823" s="164">
        <f t="shared" si="805"/>
        <v>0</v>
      </c>
      <c r="Q823" s="164">
        <f t="shared" si="805"/>
        <v>0</v>
      </c>
      <c r="R823" s="164">
        <f t="shared" si="805"/>
        <v>0</v>
      </c>
      <c r="S823" s="164">
        <f t="shared" si="805"/>
        <v>0</v>
      </c>
      <c r="T823" s="164">
        <f t="shared" si="805"/>
        <v>0</v>
      </c>
      <c r="U823" s="164">
        <f t="shared" si="805"/>
        <v>0</v>
      </c>
      <c r="V823" s="164">
        <f t="shared" si="805"/>
        <v>0</v>
      </c>
      <c r="W823" s="164">
        <f t="shared" si="805"/>
        <v>0</v>
      </c>
      <c r="X823" s="164">
        <f t="shared" si="805"/>
        <v>0</v>
      </c>
      <c r="Y823" s="164">
        <f t="shared" ref="Y823:AM823" si="806">IF(X819&gt;0,X821/AVERAGE(X819,X824)*Y822,0)</f>
        <v>0</v>
      </c>
      <c r="Z823" s="164">
        <f t="shared" si="806"/>
        <v>0</v>
      </c>
      <c r="AA823" s="164">
        <f t="shared" si="806"/>
        <v>0</v>
      </c>
      <c r="AB823" s="164">
        <f t="shared" si="806"/>
        <v>0</v>
      </c>
      <c r="AC823" s="164">
        <f t="shared" si="806"/>
        <v>0</v>
      </c>
      <c r="AD823" s="164">
        <f t="shared" si="806"/>
        <v>0</v>
      </c>
      <c r="AE823" s="164">
        <f t="shared" si="806"/>
        <v>0</v>
      </c>
      <c r="AF823" s="164">
        <f t="shared" si="806"/>
        <v>0</v>
      </c>
      <c r="AG823" s="164">
        <f t="shared" si="806"/>
        <v>0</v>
      </c>
      <c r="AH823" s="164">
        <f t="shared" si="806"/>
        <v>0</v>
      </c>
      <c r="AI823" s="164">
        <f t="shared" si="806"/>
        <v>0</v>
      </c>
      <c r="AJ823" s="164">
        <f t="shared" si="806"/>
        <v>0</v>
      </c>
      <c r="AK823" s="164">
        <f t="shared" si="806"/>
        <v>0</v>
      </c>
      <c r="AL823" s="164">
        <f t="shared" si="806"/>
        <v>0</v>
      </c>
      <c r="AM823" s="164">
        <f t="shared" si="806"/>
        <v>0</v>
      </c>
    </row>
    <row r="824" spans="1:39">
      <c r="A824" s="100"/>
      <c r="B824" s="100"/>
      <c r="C824" s="100"/>
      <c r="D824" s="179" t="s">
        <v>34</v>
      </c>
      <c r="E824" s="165" t="str">
        <f>H779</f>
        <v>Terminal Domestic - Turbo Prop</v>
      </c>
      <c r="F824" s="165"/>
      <c r="G824" s="200" t="s">
        <v>76</v>
      </c>
      <c r="H824" s="201"/>
      <c r="I824" s="200"/>
      <c r="J824" s="200"/>
      <c r="K824" s="199">
        <f>K442</f>
        <v>0</v>
      </c>
      <c r="L824" s="199">
        <f>L442</f>
        <v>0</v>
      </c>
      <c r="M824" s="527">
        <f>M442</f>
        <v>0</v>
      </c>
      <c r="N824" s="198">
        <f>N442</f>
        <v>41333.054821975391</v>
      </c>
      <c r="O824" s="198">
        <f t="shared" ref="O824:AM824" si="807">SUM(O819:O820,O822)-SUM(O821,O823)</f>
        <v>47421.27518590782</v>
      </c>
      <c r="P824" s="198">
        <f t="shared" si="807"/>
        <v>52899.161351382332</v>
      </c>
      <c r="Q824" s="198">
        <f t="shared" si="807"/>
        <v>56723.200824271487</v>
      </c>
      <c r="R824" s="198">
        <f t="shared" si="807"/>
        <v>59340.984663185591</v>
      </c>
      <c r="S824" s="198">
        <f t="shared" si="807"/>
        <v>60949.394731471817</v>
      </c>
      <c r="T824" s="198">
        <f t="shared" si="807"/>
        <v>51057.188771634042</v>
      </c>
      <c r="U824" s="198">
        <f t="shared" si="807"/>
        <v>41164.982811796268</v>
      </c>
      <c r="V824" s="198">
        <f t="shared" si="807"/>
        <v>31272.776851958493</v>
      </c>
      <c r="W824" s="198">
        <f t="shared" si="807"/>
        <v>21380.570892120719</v>
      </c>
      <c r="X824" s="198">
        <f t="shared" si="807"/>
        <v>11488.364932282944</v>
      </c>
      <c r="Y824" s="198">
        <f t="shared" si="807"/>
        <v>6865.1895486571502</v>
      </c>
      <c r="Z824" s="198">
        <f t="shared" si="807"/>
        <v>3436.1160252187447</v>
      </c>
      <c r="AA824" s="198">
        <f t="shared" si="807"/>
        <v>1150.0616028123968</v>
      </c>
      <c r="AB824" s="198">
        <f t="shared" si="807"/>
        <v>-3.637978807091713E-12</v>
      </c>
      <c r="AC824" s="198">
        <f t="shared" si="807"/>
        <v>-3.637978807091713E-12</v>
      </c>
      <c r="AD824" s="198">
        <f t="shared" si="807"/>
        <v>-3.637978807091713E-12</v>
      </c>
      <c r="AE824" s="198">
        <f t="shared" si="807"/>
        <v>-3.637978807091713E-12</v>
      </c>
      <c r="AF824" s="198">
        <f t="shared" si="807"/>
        <v>-3.637978807091713E-12</v>
      </c>
      <c r="AG824" s="198">
        <f t="shared" si="807"/>
        <v>-3.637978807091713E-12</v>
      </c>
      <c r="AH824" s="198">
        <f t="shared" si="807"/>
        <v>-3.637978807091713E-12</v>
      </c>
      <c r="AI824" s="198">
        <f t="shared" si="807"/>
        <v>-3.637978807091713E-12</v>
      </c>
      <c r="AJ824" s="198">
        <f t="shared" si="807"/>
        <v>-3.637978807091713E-12</v>
      </c>
      <c r="AK824" s="198">
        <f t="shared" si="807"/>
        <v>-3.637978807091713E-12</v>
      </c>
      <c r="AL824" s="198">
        <f t="shared" si="807"/>
        <v>-3.637978807091713E-12</v>
      </c>
      <c r="AM824" s="198">
        <f t="shared" si="807"/>
        <v>-3.637978807091713E-12</v>
      </c>
    </row>
    <row r="825" spans="1:39">
      <c r="A825" s="100"/>
      <c r="B825" s="100"/>
      <c r="C825" s="100"/>
      <c r="D825" s="179"/>
      <c r="E825" s="165"/>
      <c r="F825" s="165"/>
      <c r="G825" s="165"/>
      <c r="H825" s="121"/>
      <c r="I825" s="165"/>
      <c r="J825" s="165"/>
      <c r="K825" s="197"/>
      <c r="L825" s="197"/>
      <c r="M825" s="477"/>
      <c r="N825" s="164"/>
      <c r="O825" s="164"/>
      <c r="P825" s="164"/>
      <c r="Q825" s="164"/>
      <c r="R825" s="164"/>
      <c r="S825" s="164"/>
      <c r="T825" s="164"/>
      <c r="U825" s="164"/>
      <c r="V825" s="164"/>
      <c r="W825" s="164"/>
      <c r="X825" s="164"/>
      <c r="Y825" s="164"/>
      <c r="Z825" s="164"/>
      <c r="AA825" s="164"/>
      <c r="AB825" s="164"/>
      <c r="AC825" s="164"/>
      <c r="AD825" s="164"/>
      <c r="AE825" s="164"/>
      <c r="AF825" s="164"/>
      <c r="AG825" s="164"/>
      <c r="AH825" s="164"/>
      <c r="AI825" s="164"/>
      <c r="AJ825" s="164"/>
      <c r="AK825" s="164"/>
      <c r="AL825" s="164"/>
      <c r="AM825" s="164"/>
    </row>
    <row r="826" spans="1:39">
      <c r="A826" s="100"/>
      <c r="B826" s="100"/>
      <c r="C826" s="100"/>
      <c r="D826" s="179"/>
      <c r="E826" s="165"/>
      <c r="F826" s="165"/>
      <c r="G826" s="206" t="s">
        <v>33</v>
      </c>
      <c r="H826" s="121"/>
      <c r="I826" s="165"/>
      <c r="J826" s="165"/>
      <c r="K826" s="204"/>
      <c r="L826" s="197"/>
      <c r="M826" s="477"/>
      <c r="N826" s="164"/>
      <c r="O826" s="164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  <c r="AA826" s="165"/>
      <c r="AB826" s="165"/>
      <c r="AC826" s="165"/>
      <c r="AD826" s="165"/>
      <c r="AE826" s="165"/>
      <c r="AF826" s="165"/>
      <c r="AG826" s="165"/>
      <c r="AH826" s="165"/>
      <c r="AI826" s="165"/>
      <c r="AJ826" s="165"/>
      <c r="AK826" s="165"/>
      <c r="AL826" s="165"/>
      <c r="AM826" s="165"/>
    </row>
    <row r="827" spans="1:39">
      <c r="A827" s="100"/>
      <c r="B827" s="100"/>
      <c r="C827" s="100"/>
      <c r="D827" s="179"/>
      <c r="E827" s="165"/>
      <c r="F827" s="165"/>
      <c r="G827" s="205"/>
      <c r="H827" s="121"/>
      <c r="I827" s="165"/>
      <c r="J827" s="165"/>
      <c r="K827" s="204"/>
      <c r="L827" s="197"/>
      <c r="M827" s="477"/>
      <c r="N827" s="164"/>
      <c r="O827" s="164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  <c r="AA827" s="165"/>
      <c r="AB827" s="165"/>
      <c r="AC827" s="165"/>
      <c r="AD827" s="165"/>
      <c r="AE827" s="165"/>
      <c r="AF827" s="165"/>
      <c r="AG827" s="165"/>
      <c r="AH827" s="165"/>
      <c r="AI827" s="165"/>
      <c r="AJ827" s="165"/>
      <c r="AK827" s="165"/>
      <c r="AL827" s="165"/>
      <c r="AM827" s="165"/>
    </row>
    <row r="828" spans="1:39">
      <c r="A828" s="100"/>
      <c r="B828" s="100"/>
      <c r="C828" s="100"/>
      <c r="D828" s="179" t="str">
        <f t="shared" ref="D828:D833" si="808">$G$545</f>
        <v>Airfield Runway Apron Taxi</v>
      </c>
      <c r="E828" s="165" t="str">
        <f>H779</f>
        <v>Terminal Domestic - Turbo Prop</v>
      </c>
      <c r="F828" s="165"/>
      <c r="G828" s="165" t="s">
        <v>80</v>
      </c>
      <c r="H828" s="121"/>
      <c r="I828" s="165"/>
      <c r="J828" s="165"/>
      <c r="K828" s="530">
        <f>K833</f>
        <v>0</v>
      </c>
      <c r="L828" s="530">
        <f>L833</f>
        <v>0</v>
      </c>
      <c r="M828" s="531"/>
      <c r="N828" s="164"/>
      <c r="O828" s="164">
        <f t="shared" ref="O828:Y828" si="809">N833</f>
        <v>0</v>
      </c>
      <c r="P828" s="164">
        <f t="shared" si="809"/>
        <v>0</v>
      </c>
      <c r="Q828" s="164">
        <f t="shared" si="809"/>
        <v>0</v>
      </c>
      <c r="R828" s="164">
        <f t="shared" si="809"/>
        <v>0</v>
      </c>
      <c r="S828" s="164">
        <f t="shared" si="809"/>
        <v>0</v>
      </c>
      <c r="T828" s="164">
        <f t="shared" si="809"/>
        <v>0</v>
      </c>
      <c r="U828" s="164">
        <f t="shared" si="809"/>
        <v>0</v>
      </c>
      <c r="V828" s="164">
        <f t="shared" si="809"/>
        <v>0</v>
      </c>
      <c r="W828" s="164">
        <f t="shared" si="809"/>
        <v>0</v>
      </c>
      <c r="X828" s="164">
        <f t="shared" si="809"/>
        <v>0</v>
      </c>
      <c r="Y828" s="164">
        <f t="shared" si="809"/>
        <v>0</v>
      </c>
      <c r="Z828" s="164">
        <f t="shared" ref="Z828:AM828" si="810">Y833</f>
        <v>0</v>
      </c>
      <c r="AA828" s="164">
        <f t="shared" si="810"/>
        <v>0</v>
      </c>
      <c r="AB828" s="164">
        <f t="shared" si="810"/>
        <v>0</v>
      </c>
      <c r="AC828" s="164">
        <f t="shared" si="810"/>
        <v>0</v>
      </c>
      <c r="AD828" s="164">
        <f t="shared" si="810"/>
        <v>0</v>
      </c>
      <c r="AE828" s="164">
        <f t="shared" si="810"/>
        <v>0</v>
      </c>
      <c r="AF828" s="164">
        <f t="shared" si="810"/>
        <v>0</v>
      </c>
      <c r="AG828" s="164">
        <f t="shared" si="810"/>
        <v>0</v>
      </c>
      <c r="AH828" s="164">
        <f t="shared" si="810"/>
        <v>0</v>
      </c>
      <c r="AI828" s="164">
        <f t="shared" si="810"/>
        <v>0</v>
      </c>
      <c r="AJ828" s="164">
        <f t="shared" si="810"/>
        <v>0</v>
      </c>
      <c r="AK828" s="164">
        <f t="shared" si="810"/>
        <v>0</v>
      </c>
      <c r="AL828" s="164">
        <f t="shared" si="810"/>
        <v>0</v>
      </c>
      <c r="AM828" s="164">
        <f t="shared" si="810"/>
        <v>0</v>
      </c>
    </row>
    <row r="829" spans="1:39">
      <c r="A829" s="100"/>
      <c r="B829" s="100"/>
      <c r="C829" s="100"/>
      <c r="D829" s="179" t="str">
        <f t="shared" si="808"/>
        <v>Airfield Runway Apron Taxi</v>
      </c>
      <c r="E829" s="165" t="str">
        <f>H779</f>
        <v>Terminal Domestic - Turbo Prop</v>
      </c>
      <c r="F829" s="165"/>
      <c r="G829" s="165" t="s">
        <v>83</v>
      </c>
      <c r="H829" s="121"/>
      <c r="I829" s="165"/>
      <c r="J829" s="165"/>
      <c r="K829" s="532"/>
      <c r="L829" s="532"/>
      <c r="M829" s="533"/>
      <c r="N829" s="164"/>
      <c r="O829" s="164">
        <f t="shared" ref="O829:X829" si="811">SUMIFS(O$63:O$80,$J$63:$J$80,$G826,$K$63:$K$80,$G829)</f>
        <v>0</v>
      </c>
      <c r="P829" s="164">
        <f t="shared" si="811"/>
        <v>0</v>
      </c>
      <c r="Q829" s="164">
        <f t="shared" si="811"/>
        <v>0</v>
      </c>
      <c r="R829" s="164">
        <f t="shared" si="811"/>
        <v>0</v>
      </c>
      <c r="S829" s="164">
        <f t="shared" si="811"/>
        <v>0</v>
      </c>
      <c r="T829" s="164">
        <f t="shared" si="811"/>
        <v>0</v>
      </c>
      <c r="U829" s="164">
        <f t="shared" si="811"/>
        <v>0</v>
      </c>
      <c r="V829" s="164">
        <f t="shared" si="811"/>
        <v>0</v>
      </c>
      <c r="W829" s="164">
        <f t="shared" si="811"/>
        <v>0</v>
      </c>
      <c r="X829" s="164">
        <f t="shared" si="811"/>
        <v>0</v>
      </c>
      <c r="Y829" s="164">
        <f>SUMIFS(Y$63:Y$80,$J$63:$J$80,$G826,$K$63:$K$80,$G829)</f>
        <v>0</v>
      </c>
      <c r="Z829" s="164">
        <f t="shared" ref="Z829:AM829" si="812">SUMIFS(Z$63:Z$80,$J$63:$J$80,$G826,$K$63:$K$80,$G829)</f>
        <v>0</v>
      </c>
      <c r="AA829" s="164">
        <f t="shared" si="812"/>
        <v>0</v>
      </c>
      <c r="AB829" s="164">
        <f t="shared" si="812"/>
        <v>0</v>
      </c>
      <c r="AC829" s="164">
        <f t="shared" si="812"/>
        <v>0</v>
      </c>
      <c r="AD829" s="164">
        <f t="shared" si="812"/>
        <v>0</v>
      </c>
      <c r="AE829" s="164">
        <f t="shared" si="812"/>
        <v>0</v>
      </c>
      <c r="AF829" s="164">
        <f t="shared" si="812"/>
        <v>0</v>
      </c>
      <c r="AG829" s="164">
        <f t="shared" si="812"/>
        <v>0</v>
      </c>
      <c r="AH829" s="164">
        <f t="shared" si="812"/>
        <v>0</v>
      </c>
      <c r="AI829" s="164">
        <f t="shared" si="812"/>
        <v>0</v>
      </c>
      <c r="AJ829" s="164">
        <f t="shared" si="812"/>
        <v>0</v>
      </c>
      <c r="AK829" s="164">
        <f t="shared" si="812"/>
        <v>0</v>
      </c>
      <c r="AL829" s="164">
        <f t="shared" si="812"/>
        <v>0</v>
      </c>
      <c r="AM829" s="164">
        <f t="shared" si="812"/>
        <v>0</v>
      </c>
    </row>
    <row r="830" spans="1:39">
      <c r="A830" s="100"/>
      <c r="B830" s="100"/>
      <c r="C830" s="100"/>
      <c r="D830" s="179" t="str">
        <f t="shared" si="808"/>
        <v>Airfield Runway Apron Taxi</v>
      </c>
      <c r="E830" s="165" t="str">
        <f>H779</f>
        <v>Terminal Domestic - Turbo Prop</v>
      </c>
      <c r="F830" s="165"/>
      <c r="G830" s="165" t="s">
        <v>78</v>
      </c>
      <c r="H830" s="121"/>
      <c r="I830" s="165"/>
      <c r="J830" s="165"/>
      <c r="K830" s="197"/>
      <c r="L830" s="197"/>
      <c r="M830" s="477"/>
      <c r="N830" s="164"/>
      <c r="O830" s="164">
        <f t="shared" ref="O830:X830" si="813">O449+SUMIFS(O$63:O$80,$J$63:$J$80,$G826,$K$63:$K$80,$G830)</f>
        <v>0</v>
      </c>
      <c r="P830" s="164">
        <f t="shared" si="813"/>
        <v>0</v>
      </c>
      <c r="Q830" s="164">
        <f t="shared" si="813"/>
        <v>0</v>
      </c>
      <c r="R830" s="164">
        <f t="shared" si="813"/>
        <v>0</v>
      </c>
      <c r="S830" s="164">
        <f t="shared" si="813"/>
        <v>0</v>
      </c>
      <c r="T830" s="164">
        <f t="shared" si="813"/>
        <v>0</v>
      </c>
      <c r="U830" s="164">
        <f t="shared" si="813"/>
        <v>0</v>
      </c>
      <c r="V830" s="164">
        <f t="shared" si="813"/>
        <v>0</v>
      </c>
      <c r="W830" s="164">
        <f t="shared" si="813"/>
        <v>0</v>
      </c>
      <c r="X830" s="164">
        <f t="shared" si="813"/>
        <v>0</v>
      </c>
      <c r="Y830" s="164">
        <f>Y449+SUMIFS(Y$63:Y$80,$J$63:$J$80,$G826,$K$63:$K$80,$G830)</f>
        <v>0</v>
      </c>
      <c r="Z830" s="164">
        <f t="shared" ref="Z830:AM830" si="814">Z449+SUMIFS(Z$63:Z$80,$J$63:$J$80,$G826,$K$63:$K$80,$G830)</f>
        <v>0</v>
      </c>
      <c r="AA830" s="164">
        <f t="shared" si="814"/>
        <v>0</v>
      </c>
      <c r="AB830" s="164">
        <f t="shared" si="814"/>
        <v>0</v>
      </c>
      <c r="AC830" s="164">
        <f t="shared" si="814"/>
        <v>0</v>
      </c>
      <c r="AD830" s="164">
        <f t="shared" si="814"/>
        <v>0</v>
      </c>
      <c r="AE830" s="164">
        <f t="shared" si="814"/>
        <v>0</v>
      </c>
      <c r="AF830" s="164">
        <f t="shared" si="814"/>
        <v>0</v>
      </c>
      <c r="AG830" s="164">
        <f t="shared" si="814"/>
        <v>0</v>
      </c>
      <c r="AH830" s="164">
        <f t="shared" si="814"/>
        <v>0</v>
      </c>
      <c r="AI830" s="164">
        <f t="shared" si="814"/>
        <v>0</v>
      </c>
      <c r="AJ830" s="164">
        <f t="shared" si="814"/>
        <v>0</v>
      </c>
      <c r="AK830" s="164">
        <f t="shared" si="814"/>
        <v>0</v>
      </c>
      <c r="AL830" s="164">
        <f t="shared" si="814"/>
        <v>0</v>
      </c>
      <c r="AM830" s="164">
        <f t="shared" si="814"/>
        <v>0</v>
      </c>
    </row>
    <row r="831" spans="1:39">
      <c r="A831" s="100"/>
      <c r="B831" s="100"/>
      <c r="C831" s="100"/>
      <c r="D831" s="179" t="str">
        <f t="shared" si="808"/>
        <v>Airfield Runway Apron Taxi</v>
      </c>
      <c r="E831" s="165" t="str">
        <f>H779</f>
        <v>Terminal Domestic - Turbo Prop</v>
      </c>
      <c r="F831" s="165"/>
      <c r="G831" s="165" t="s">
        <v>88</v>
      </c>
      <c r="H831" s="121"/>
      <c r="I831" s="165"/>
      <c r="J831" s="165"/>
      <c r="K831" s="197"/>
      <c r="L831" s="197"/>
      <c r="M831" s="477"/>
      <c r="N831" s="230"/>
      <c r="O831" s="230">
        <f>N833*'Volume &amp; CPI forecast'!O$13</f>
        <v>0</v>
      </c>
      <c r="P831" s="230">
        <f>O833*'Volume &amp; CPI forecast'!P$13</f>
        <v>0</v>
      </c>
      <c r="Q831" s="230">
        <f>P833*'Volume &amp; CPI forecast'!Q$13</f>
        <v>0</v>
      </c>
      <c r="R831" s="230">
        <f>Q833*'Volume &amp; CPI forecast'!R$13</f>
        <v>0</v>
      </c>
      <c r="S831" s="230">
        <f>R833*'Volume &amp; CPI forecast'!S$13</f>
        <v>0</v>
      </c>
      <c r="T831" s="230">
        <f>S833*'Volume &amp; CPI forecast'!T$13</f>
        <v>0</v>
      </c>
      <c r="U831" s="230">
        <f>T833*'Volume &amp; CPI forecast'!U$13</f>
        <v>0</v>
      </c>
      <c r="V831" s="230">
        <f>U833*'Volume &amp; CPI forecast'!V$13</f>
        <v>0</v>
      </c>
      <c r="W831" s="230">
        <f>V833*'Volume &amp; CPI forecast'!W$13</f>
        <v>0</v>
      </c>
      <c r="X831" s="230">
        <f>W833*'Volume &amp; CPI forecast'!X$13</f>
        <v>0</v>
      </c>
      <c r="Y831" s="230">
        <f>X833*'Volume &amp; CPI forecast'!Y$13</f>
        <v>0</v>
      </c>
      <c r="Z831" s="230">
        <f>Y833*'Volume &amp; CPI forecast'!Z$13</f>
        <v>0</v>
      </c>
      <c r="AA831" s="230">
        <f>Z833*'Volume &amp; CPI forecast'!AA$13</f>
        <v>0</v>
      </c>
      <c r="AB831" s="230">
        <f>AA833*'Volume &amp; CPI forecast'!AB$13</f>
        <v>0</v>
      </c>
      <c r="AC831" s="230">
        <f>AB833*'Volume &amp; CPI forecast'!AC$13</f>
        <v>0</v>
      </c>
      <c r="AD831" s="230">
        <f>AC833*'Volume &amp; CPI forecast'!AD$13</f>
        <v>0</v>
      </c>
      <c r="AE831" s="230">
        <f>AD833*'Volume &amp; CPI forecast'!AE$13</f>
        <v>0</v>
      </c>
      <c r="AF831" s="230">
        <f>AE833*'Volume &amp; CPI forecast'!AF$13</f>
        <v>0</v>
      </c>
      <c r="AG831" s="230">
        <f>AF833*'Volume &amp; CPI forecast'!AG$13</f>
        <v>0</v>
      </c>
      <c r="AH831" s="230">
        <f>AG833*'Volume &amp; CPI forecast'!AH$13</f>
        <v>0</v>
      </c>
      <c r="AI831" s="230">
        <f>AH833*'Volume &amp; CPI forecast'!AI$13</f>
        <v>0</v>
      </c>
      <c r="AJ831" s="230">
        <f>AI833*'Volume &amp; CPI forecast'!AJ$13</f>
        <v>0</v>
      </c>
      <c r="AK831" s="230">
        <f>AJ833*'Volume &amp; CPI forecast'!AK$13</f>
        <v>0</v>
      </c>
      <c r="AL831" s="230">
        <f>AK833*'Volume &amp; CPI forecast'!AL$13</f>
        <v>0</v>
      </c>
      <c r="AM831" s="230">
        <f>AL833*'Volume &amp; CPI forecast'!AM$13</f>
        <v>0</v>
      </c>
    </row>
    <row r="832" spans="1:39">
      <c r="A832" s="100"/>
      <c r="B832" s="100"/>
      <c r="C832" s="100"/>
      <c r="D832" s="179" t="str">
        <f t="shared" si="808"/>
        <v>Airfield Runway Apron Taxi</v>
      </c>
      <c r="E832" s="165" t="str">
        <f>H779</f>
        <v>Terminal Domestic - Turbo Prop</v>
      </c>
      <c r="F832" s="165"/>
      <c r="G832" s="165" t="s">
        <v>87</v>
      </c>
      <c r="H832" s="121"/>
      <c r="I832" s="165"/>
      <c r="J832" s="165"/>
      <c r="K832" s="197"/>
      <c r="L832" s="197"/>
      <c r="M832" s="477"/>
      <c r="N832" s="164"/>
      <c r="O832" s="164">
        <f t="shared" ref="O832:X832" si="815">IF(N828&gt;0,N830/AVERAGE(N828,N833)*O831,0)</f>
        <v>0</v>
      </c>
      <c r="P832" s="164">
        <f t="shared" si="815"/>
        <v>0</v>
      </c>
      <c r="Q832" s="164">
        <f t="shared" si="815"/>
        <v>0</v>
      </c>
      <c r="R832" s="164">
        <f t="shared" si="815"/>
        <v>0</v>
      </c>
      <c r="S832" s="164">
        <f t="shared" si="815"/>
        <v>0</v>
      </c>
      <c r="T832" s="164">
        <f t="shared" si="815"/>
        <v>0</v>
      </c>
      <c r="U832" s="164">
        <f t="shared" si="815"/>
        <v>0</v>
      </c>
      <c r="V832" s="164">
        <f t="shared" si="815"/>
        <v>0</v>
      </c>
      <c r="W832" s="164">
        <f t="shared" si="815"/>
        <v>0</v>
      </c>
      <c r="X832" s="164">
        <f t="shared" si="815"/>
        <v>0</v>
      </c>
      <c r="Y832" s="164">
        <f t="shared" ref="Y832:AM832" si="816">IF(X828&gt;0,X830/AVERAGE(X828,X833)*Y831,0)</f>
        <v>0</v>
      </c>
      <c r="Z832" s="164">
        <f t="shared" si="816"/>
        <v>0</v>
      </c>
      <c r="AA832" s="164">
        <f t="shared" si="816"/>
        <v>0</v>
      </c>
      <c r="AB832" s="164">
        <f t="shared" si="816"/>
        <v>0</v>
      </c>
      <c r="AC832" s="164">
        <f t="shared" si="816"/>
        <v>0</v>
      </c>
      <c r="AD832" s="164">
        <f t="shared" si="816"/>
        <v>0</v>
      </c>
      <c r="AE832" s="164">
        <f t="shared" si="816"/>
        <v>0</v>
      </c>
      <c r="AF832" s="164">
        <f t="shared" si="816"/>
        <v>0</v>
      </c>
      <c r="AG832" s="164">
        <f t="shared" si="816"/>
        <v>0</v>
      </c>
      <c r="AH832" s="164">
        <f t="shared" si="816"/>
        <v>0</v>
      </c>
      <c r="AI832" s="164">
        <f t="shared" si="816"/>
        <v>0</v>
      </c>
      <c r="AJ832" s="164">
        <f t="shared" si="816"/>
        <v>0</v>
      </c>
      <c r="AK832" s="164">
        <f t="shared" si="816"/>
        <v>0</v>
      </c>
      <c r="AL832" s="164">
        <f t="shared" si="816"/>
        <v>0</v>
      </c>
      <c r="AM832" s="164">
        <f t="shared" si="816"/>
        <v>0</v>
      </c>
    </row>
    <row r="833" spans="1:39">
      <c r="A833" s="100"/>
      <c r="B833" s="100"/>
      <c r="C833" s="100"/>
      <c r="D833" s="179" t="str">
        <f t="shared" si="808"/>
        <v>Airfield Runway Apron Taxi</v>
      </c>
      <c r="E833" s="165" t="str">
        <f>H779</f>
        <v>Terminal Domestic - Turbo Prop</v>
      </c>
      <c r="F833" s="165"/>
      <c r="G833" s="200" t="s">
        <v>76</v>
      </c>
      <c r="H833" s="201"/>
      <c r="I833" s="200"/>
      <c r="J833" s="200"/>
      <c r="K833" s="199">
        <f>K451</f>
        <v>0</v>
      </c>
      <c r="L833" s="199">
        <f>L451</f>
        <v>0</v>
      </c>
      <c r="M833" s="527">
        <f>M451</f>
        <v>0</v>
      </c>
      <c r="N833" s="198">
        <f>N451</f>
        <v>0</v>
      </c>
      <c r="O833" s="198">
        <f t="shared" ref="O833:AM833" si="817">SUM(O828:O829,O831)-SUM(O830,O832)</f>
        <v>0</v>
      </c>
      <c r="P833" s="198">
        <f t="shared" si="817"/>
        <v>0</v>
      </c>
      <c r="Q833" s="198">
        <f t="shared" si="817"/>
        <v>0</v>
      </c>
      <c r="R833" s="198">
        <f t="shared" si="817"/>
        <v>0</v>
      </c>
      <c r="S833" s="198">
        <f t="shared" si="817"/>
        <v>0</v>
      </c>
      <c r="T833" s="198">
        <f t="shared" si="817"/>
        <v>0</v>
      </c>
      <c r="U833" s="198">
        <f t="shared" si="817"/>
        <v>0</v>
      </c>
      <c r="V833" s="198">
        <f t="shared" si="817"/>
        <v>0</v>
      </c>
      <c r="W833" s="198">
        <f t="shared" si="817"/>
        <v>0</v>
      </c>
      <c r="X833" s="198">
        <f t="shared" si="817"/>
        <v>0</v>
      </c>
      <c r="Y833" s="198">
        <f t="shared" si="817"/>
        <v>0</v>
      </c>
      <c r="Z833" s="198">
        <f t="shared" si="817"/>
        <v>0</v>
      </c>
      <c r="AA833" s="198">
        <f t="shared" si="817"/>
        <v>0</v>
      </c>
      <c r="AB833" s="198">
        <f t="shared" si="817"/>
        <v>0</v>
      </c>
      <c r="AC833" s="198">
        <f t="shared" si="817"/>
        <v>0</v>
      </c>
      <c r="AD833" s="198">
        <f t="shared" si="817"/>
        <v>0</v>
      </c>
      <c r="AE833" s="198">
        <f t="shared" si="817"/>
        <v>0</v>
      </c>
      <c r="AF833" s="198">
        <f t="shared" si="817"/>
        <v>0</v>
      </c>
      <c r="AG833" s="198">
        <f t="shared" si="817"/>
        <v>0</v>
      </c>
      <c r="AH833" s="198">
        <f t="shared" si="817"/>
        <v>0</v>
      </c>
      <c r="AI833" s="198">
        <f t="shared" si="817"/>
        <v>0</v>
      </c>
      <c r="AJ833" s="198">
        <f t="shared" si="817"/>
        <v>0</v>
      </c>
      <c r="AK833" s="198">
        <f t="shared" si="817"/>
        <v>0</v>
      </c>
      <c r="AL833" s="198">
        <f t="shared" si="817"/>
        <v>0</v>
      </c>
      <c r="AM833" s="198">
        <f t="shared" si="817"/>
        <v>0</v>
      </c>
    </row>
    <row r="834" spans="1:39">
      <c r="A834" s="100"/>
      <c r="B834" s="100"/>
      <c r="C834" s="100"/>
      <c r="D834" s="179"/>
      <c r="E834" s="165"/>
      <c r="F834" s="165"/>
      <c r="G834" s="165"/>
      <c r="H834" s="121"/>
      <c r="I834" s="165"/>
      <c r="J834" s="165"/>
      <c r="K834" s="197"/>
      <c r="L834" s="197"/>
      <c r="M834" s="477"/>
      <c r="N834" s="164"/>
      <c r="O834" s="164"/>
      <c r="P834" s="164"/>
      <c r="Q834" s="164"/>
      <c r="R834" s="164"/>
      <c r="S834" s="164"/>
      <c r="T834" s="164"/>
      <c r="U834" s="164"/>
      <c r="V834" s="164"/>
      <c r="W834" s="164"/>
      <c r="X834" s="164"/>
      <c r="Y834" s="164"/>
      <c r="Z834" s="164"/>
      <c r="AA834" s="164"/>
      <c r="AB834" s="164"/>
      <c r="AC834" s="164"/>
      <c r="AD834" s="164"/>
      <c r="AE834" s="164"/>
      <c r="AF834" s="164"/>
      <c r="AG834" s="164"/>
      <c r="AH834" s="164"/>
      <c r="AI834" s="164"/>
      <c r="AJ834" s="164"/>
      <c r="AK834" s="164"/>
      <c r="AL834" s="164"/>
      <c r="AM834" s="164"/>
    </row>
    <row r="835" spans="1:39">
      <c r="A835" s="100"/>
      <c r="B835" s="100"/>
      <c r="C835" s="100"/>
      <c r="D835" s="179"/>
      <c r="E835" s="165"/>
      <c r="F835" s="165"/>
      <c r="G835" s="206" t="s">
        <v>32</v>
      </c>
      <c r="H835" s="121"/>
      <c r="I835" s="165"/>
      <c r="J835" s="165"/>
      <c r="K835" s="204"/>
      <c r="L835" s="197"/>
      <c r="M835" s="477"/>
      <c r="N835" s="164"/>
      <c r="O835" s="164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</row>
    <row r="836" spans="1:39">
      <c r="A836" s="100"/>
      <c r="B836" s="100"/>
      <c r="C836" s="100"/>
      <c r="D836" s="179"/>
      <c r="E836" s="165"/>
      <c r="F836" s="165"/>
      <c r="G836" s="205"/>
      <c r="H836" s="121"/>
      <c r="I836" s="165"/>
      <c r="J836" s="165"/>
      <c r="K836" s="204"/>
      <c r="L836" s="197"/>
      <c r="M836" s="477"/>
      <c r="N836" s="164"/>
      <c r="O836" s="164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</row>
    <row r="837" spans="1:39">
      <c r="A837" s="100"/>
      <c r="B837" s="100"/>
      <c r="C837" s="100"/>
      <c r="D837" s="179" t="str">
        <f t="shared" ref="D837:D842" si="818">$G$554</f>
        <v>Infrastructure</v>
      </c>
      <c r="E837" s="165" t="str">
        <f>H779</f>
        <v>Terminal Domestic - Turbo Prop</v>
      </c>
      <c r="F837" s="165"/>
      <c r="G837" s="165" t="s">
        <v>80</v>
      </c>
      <c r="H837" s="121"/>
      <c r="I837" s="165"/>
      <c r="J837" s="165"/>
      <c r="K837" s="530">
        <f>K842</f>
        <v>0</v>
      </c>
      <c r="L837" s="530">
        <f>L842</f>
        <v>0</v>
      </c>
      <c r="M837" s="531"/>
      <c r="N837" s="164"/>
      <c r="O837" s="164">
        <f t="shared" ref="O837:Y837" si="819">N842</f>
        <v>3697.9924799267815</v>
      </c>
      <c r="P837" s="164">
        <f t="shared" si="819"/>
        <v>12331.434143855064</v>
      </c>
      <c r="Q837" s="164">
        <f t="shared" si="819"/>
        <v>13708.479366387113</v>
      </c>
      <c r="R837" s="164">
        <f t="shared" si="819"/>
        <v>12327.826997732451</v>
      </c>
      <c r="S837" s="164">
        <f t="shared" si="819"/>
        <v>10816.990431323255</v>
      </c>
      <c r="T837" s="164">
        <f t="shared" si="819"/>
        <v>14807.394181518112</v>
      </c>
      <c r="U837" s="164">
        <f t="shared" si="819"/>
        <v>13186.498354582051</v>
      </c>
      <c r="V837" s="164">
        <f t="shared" si="819"/>
        <v>11576.665181848126</v>
      </c>
      <c r="W837" s="164">
        <f t="shared" si="819"/>
        <v>9926.9228702727542</v>
      </c>
      <c r="X837" s="164">
        <f t="shared" si="819"/>
        <v>8236.4917330531116</v>
      </c>
      <c r="Y837" s="164">
        <f t="shared" si="819"/>
        <v>6504.5742740504484</v>
      </c>
      <c r="Z837" s="164">
        <f t="shared" ref="Z837:AM837" si="820">Y842</f>
        <v>5241.0227373417092</v>
      </c>
      <c r="AA837" s="164">
        <f t="shared" si="820"/>
        <v>4361.6698443287769</v>
      </c>
      <c r="AB837" s="164">
        <f t="shared" si="820"/>
        <v>3602.319089236431</v>
      </c>
      <c r="AC837" s="164">
        <f t="shared" si="820"/>
        <v>2963.238012833775</v>
      </c>
      <c r="AD837" s="164">
        <f t="shared" si="820"/>
        <v>3006.3158446551474</v>
      </c>
      <c r="AE837" s="164">
        <f t="shared" si="820"/>
        <v>3066.1156942838006</v>
      </c>
      <c r="AF837" s="164">
        <f t="shared" si="820"/>
        <v>3127.409554600873</v>
      </c>
      <c r="AG837" s="164">
        <f t="shared" si="820"/>
        <v>3190.2357431937226</v>
      </c>
      <c r="AH837" s="164">
        <f t="shared" si="820"/>
        <v>3254.632568480863</v>
      </c>
      <c r="AI837" s="164">
        <f t="shared" si="820"/>
        <v>3320.6392966494568</v>
      </c>
      <c r="AJ837" s="164">
        <f t="shared" si="820"/>
        <v>3403.2769988100254</v>
      </c>
      <c r="AK837" s="164">
        <f t="shared" si="820"/>
        <v>3488.3589237802762</v>
      </c>
      <c r="AL837" s="164">
        <f t="shared" si="820"/>
        <v>3488.3589237802762</v>
      </c>
      <c r="AM837" s="164">
        <f t="shared" si="820"/>
        <v>3488.3589237802762</v>
      </c>
    </row>
    <row r="838" spans="1:39">
      <c r="A838" s="100"/>
      <c r="B838" s="100"/>
      <c r="C838" s="100"/>
      <c r="D838" s="179" t="str">
        <f t="shared" si="818"/>
        <v>Infrastructure</v>
      </c>
      <c r="E838" s="165" t="str">
        <f>H779</f>
        <v>Terminal Domestic - Turbo Prop</v>
      </c>
      <c r="F838" s="165"/>
      <c r="G838" s="165" t="s">
        <v>83</v>
      </c>
      <c r="H838" s="121"/>
      <c r="I838" s="165"/>
      <c r="J838" s="165"/>
      <c r="K838" s="532"/>
      <c r="L838" s="532"/>
      <c r="M838" s="533"/>
      <c r="N838" s="164"/>
      <c r="O838" s="164">
        <f t="shared" ref="O838:X838" si="821">SUMIFS(O$63:O$80,$J$63:$J$80,$G835,$K$63:$K$80,$G838)</f>
        <v>11140.989322622298</v>
      </c>
      <c r="P838" s="164">
        <f t="shared" si="821"/>
        <v>4194.6060860680082</v>
      </c>
      <c r="Q838" s="164">
        <f t="shared" si="821"/>
        <v>1527.8710651313534</v>
      </c>
      <c r="R838" s="164">
        <f t="shared" si="821"/>
        <v>1562.927654973967</v>
      </c>
      <c r="S838" s="164">
        <f t="shared" si="821"/>
        <v>7157.426987513214</v>
      </c>
      <c r="T838" s="164">
        <f t="shared" si="821"/>
        <v>0</v>
      </c>
      <c r="U838" s="164">
        <f t="shared" si="821"/>
        <v>0</v>
      </c>
      <c r="V838" s="164">
        <f t="shared" si="821"/>
        <v>0</v>
      </c>
      <c r="W838" s="164">
        <f t="shared" si="821"/>
        <v>0</v>
      </c>
      <c r="X838" s="164">
        <f t="shared" si="821"/>
        <v>0</v>
      </c>
      <c r="Y838" s="164">
        <f>SUMIFS(Y$63:Y$80,$J$63:$J$80,$G835,$K$63:$K$80,$G838)</f>
        <v>0</v>
      </c>
      <c r="Z838" s="164">
        <f t="shared" ref="Z838:AM838" si="822">SUMIFS(Z$63:Z$80,$J$63:$J$80,$G835,$K$63:$K$80,$G838)</f>
        <v>0</v>
      </c>
      <c r="AA838" s="164">
        <f t="shared" si="822"/>
        <v>0</v>
      </c>
      <c r="AB838" s="164">
        <f t="shared" si="822"/>
        <v>0</v>
      </c>
      <c r="AC838" s="164">
        <f t="shared" si="822"/>
        <v>0</v>
      </c>
      <c r="AD838" s="164">
        <f t="shared" si="822"/>
        <v>0</v>
      </c>
      <c r="AE838" s="164">
        <f t="shared" si="822"/>
        <v>0</v>
      </c>
      <c r="AF838" s="164">
        <f t="shared" si="822"/>
        <v>0</v>
      </c>
      <c r="AG838" s="164">
        <f t="shared" si="822"/>
        <v>0</v>
      </c>
      <c r="AH838" s="164">
        <f t="shared" si="822"/>
        <v>0</v>
      </c>
      <c r="AI838" s="164">
        <f t="shared" si="822"/>
        <v>0</v>
      </c>
      <c r="AJ838" s="164">
        <f t="shared" si="822"/>
        <v>0</v>
      </c>
      <c r="AK838" s="164">
        <f t="shared" si="822"/>
        <v>0</v>
      </c>
      <c r="AL838" s="164">
        <f t="shared" si="822"/>
        <v>0</v>
      </c>
      <c r="AM838" s="164">
        <f t="shared" si="822"/>
        <v>0</v>
      </c>
    </row>
    <row r="839" spans="1:39">
      <c r="A839" s="100"/>
      <c r="B839" s="100"/>
      <c r="C839" s="100"/>
      <c r="D839" s="179" t="str">
        <f t="shared" si="818"/>
        <v>Infrastructure</v>
      </c>
      <c r="E839" s="165" t="str">
        <f>H779</f>
        <v>Terminal Domestic - Turbo Prop</v>
      </c>
      <c r="F839" s="165"/>
      <c r="G839" s="165" t="s">
        <v>78</v>
      </c>
      <c r="H839" s="121"/>
      <c r="I839" s="165"/>
      <c r="J839" s="165"/>
      <c r="K839" s="197"/>
      <c r="L839" s="197"/>
      <c r="M839" s="477"/>
      <c r="N839" s="164"/>
      <c r="O839" s="164">
        <f t="shared" ref="O839:X839" si="823">O458+SUMIFS(O$63:O$80,$J$63:$J$80,$G835,$K$63:$K$80,$G839)</f>
        <v>2585.2055007724775</v>
      </c>
      <c r="P839" s="164">
        <f t="shared" si="823"/>
        <v>2992.9914651580275</v>
      </c>
      <c r="Q839" s="164">
        <f t="shared" si="823"/>
        <v>3130.2248907703761</v>
      </c>
      <c r="R839" s="164">
        <f t="shared" si="823"/>
        <v>3270.3996442700809</v>
      </c>
      <c r="S839" s="164">
        <f t="shared" si="823"/>
        <v>3329.9847998304931</v>
      </c>
      <c r="T839" s="164">
        <f t="shared" si="823"/>
        <v>1894.8668634749597</v>
      </c>
      <c r="U839" s="164">
        <f t="shared" si="823"/>
        <v>1894.8668634749597</v>
      </c>
      <c r="V839" s="164">
        <f t="shared" si="823"/>
        <v>1894.8668634749597</v>
      </c>
      <c r="W839" s="164">
        <f t="shared" si="823"/>
        <v>1894.8668634749597</v>
      </c>
      <c r="X839" s="164">
        <f t="shared" si="823"/>
        <v>1894.8668634749597</v>
      </c>
      <c r="Y839" s="164">
        <f>Y458+SUMIFS(Y$63:Y$80,$J$63:$J$80,$G835,$K$63:$K$80,$G839)</f>
        <v>1384.3598862910205</v>
      </c>
      <c r="Z839" s="164">
        <f t="shared" ref="Z839:AM839" si="824">Z458+SUMIFS(Z$63:Z$80,$J$63:$J$80,$G835,$K$63:$K$80,$G839)</f>
        <v>979.49258296078381</v>
      </c>
      <c r="AA839" s="164">
        <f t="shared" si="824"/>
        <v>846.14757757363168</v>
      </c>
      <c r="AB839" s="164">
        <f t="shared" si="824"/>
        <v>710.00232707334942</v>
      </c>
      <c r="AC839" s="164">
        <f t="shared" si="824"/>
        <v>14.980823269408447</v>
      </c>
      <c r="AD839" s="164">
        <f t="shared" si="824"/>
        <v>14.980823269408447</v>
      </c>
      <c r="AE839" s="164">
        <f t="shared" si="824"/>
        <v>14.980823269408447</v>
      </c>
      <c r="AF839" s="164">
        <f t="shared" si="824"/>
        <v>14.980823269408447</v>
      </c>
      <c r="AG839" s="164">
        <f t="shared" si="824"/>
        <v>14.980823269408447</v>
      </c>
      <c r="AH839" s="164">
        <f t="shared" si="824"/>
        <v>14.980823269408447</v>
      </c>
      <c r="AI839" s="164">
        <f t="shared" si="824"/>
        <v>0</v>
      </c>
      <c r="AJ839" s="164">
        <f t="shared" si="824"/>
        <v>0</v>
      </c>
      <c r="AK839" s="164">
        <f t="shared" si="824"/>
        <v>0</v>
      </c>
      <c r="AL839" s="164">
        <f t="shared" si="824"/>
        <v>0</v>
      </c>
      <c r="AM839" s="164">
        <f t="shared" si="824"/>
        <v>0</v>
      </c>
    </row>
    <row r="840" spans="1:39">
      <c r="A840" s="100"/>
      <c r="B840" s="100"/>
      <c r="C840" s="100"/>
      <c r="D840" s="179" t="str">
        <f t="shared" si="818"/>
        <v>Infrastructure</v>
      </c>
      <c r="E840" s="165" t="str">
        <f>H779</f>
        <v>Terminal Domestic - Turbo Prop</v>
      </c>
      <c r="F840" s="165"/>
      <c r="G840" s="165" t="s">
        <v>88</v>
      </c>
      <c r="H840" s="121"/>
      <c r="I840" s="165"/>
      <c r="J840" s="165"/>
      <c r="K840" s="197"/>
      <c r="L840" s="197"/>
      <c r="M840" s="477"/>
      <c r="N840" s="230"/>
      <c r="O840" s="230">
        <f>N842*'Volume &amp; CPI forecast'!O$13</f>
        <v>77.657842078462409</v>
      </c>
      <c r="P840" s="230">
        <f>O842*'Volume &amp; CPI forecast'!P$13</f>
        <v>258.96011702095637</v>
      </c>
      <c r="Q840" s="230">
        <f>P842*'Volume &amp; CPI forecast'!Q$13</f>
        <v>287.87806669412942</v>
      </c>
      <c r="R840" s="230">
        <f>Q842*'Volume &amp; CPI forecast'!R$13</f>
        <v>258.88436695238147</v>
      </c>
      <c r="S840" s="230">
        <f>R842*'Volume &amp; CPI forecast'!S$13</f>
        <v>227.15679905778836</v>
      </c>
      <c r="T840" s="230">
        <f>S842*'Volume &amp; CPI forecast'!T$13</f>
        <v>370.18485453795279</v>
      </c>
      <c r="U840" s="230">
        <f>T842*'Volume &amp; CPI forecast'!U$13</f>
        <v>329.6624588645513</v>
      </c>
      <c r="V840" s="230">
        <f>U842*'Volume &amp; CPI forecast'!V$13</f>
        <v>289.41662954620318</v>
      </c>
      <c r="W840" s="230">
        <f>V842*'Volume &amp; CPI forecast'!W$13</f>
        <v>248.17307175681887</v>
      </c>
      <c r="X840" s="230">
        <f>W842*'Volume &amp; CPI forecast'!X$13</f>
        <v>205.91229332632781</v>
      </c>
      <c r="Y840" s="230">
        <f>X842*'Volume &amp; CPI forecast'!Y$13</f>
        <v>162.61435685126122</v>
      </c>
      <c r="Z840" s="230">
        <f>Y842*'Volume &amp; CPI forecast'!Z$13</f>
        <v>131.02556843354273</v>
      </c>
      <c r="AA840" s="230">
        <f>Z842*'Volume &amp; CPI forecast'!AA$13</f>
        <v>109.04174610821943</v>
      </c>
      <c r="AB840" s="230">
        <f>AA842*'Volume &amp; CPI forecast'!AB$13</f>
        <v>90.05797723091078</v>
      </c>
      <c r="AC840" s="230">
        <f>AB842*'Volume &amp; CPI forecast'!AC$13</f>
        <v>74.08095032084438</v>
      </c>
      <c r="AD840" s="230">
        <f>AC842*'Volume &amp; CPI forecast'!AD$13</f>
        <v>75.157896116378694</v>
      </c>
      <c r="AE840" s="230">
        <f>AD842*'Volume &amp; CPI forecast'!AE$13</f>
        <v>76.652892357095013</v>
      </c>
      <c r="AF840" s="230">
        <f>AE842*'Volume &amp; CPI forecast'!AF$13</f>
        <v>78.18523886502183</v>
      </c>
      <c r="AG840" s="230">
        <f>AF842*'Volume &amp; CPI forecast'!AG$13</f>
        <v>79.755893579843075</v>
      </c>
      <c r="AH840" s="230">
        <f>AG842*'Volume &amp; CPI forecast'!AH$13</f>
        <v>81.365814212021576</v>
      </c>
      <c r="AI840" s="230">
        <f>AH842*'Volume &amp; CPI forecast'!AI$13</f>
        <v>83.015982416236426</v>
      </c>
      <c r="AJ840" s="230">
        <f>AI842*'Volume &amp; CPI forecast'!AJ$13</f>
        <v>85.08192497025064</v>
      </c>
      <c r="AK840" s="230">
        <f>AJ842*'Volume &amp; CPI forecast'!AK$13</f>
        <v>0</v>
      </c>
      <c r="AL840" s="230">
        <f>AK842*'Volume &amp; CPI forecast'!AL$13</f>
        <v>0</v>
      </c>
      <c r="AM840" s="230">
        <f>AL842*'Volume &amp; CPI forecast'!AM$13</f>
        <v>0</v>
      </c>
    </row>
    <row r="841" spans="1:39">
      <c r="A841" s="100"/>
      <c r="B841" s="100"/>
      <c r="C841" s="100"/>
      <c r="D841" s="179" t="str">
        <f t="shared" si="818"/>
        <v>Infrastructure</v>
      </c>
      <c r="E841" s="165" t="str">
        <f>H779</f>
        <v>Terminal Domestic - Turbo Prop</v>
      </c>
      <c r="F841" s="165"/>
      <c r="G841" s="165" t="s">
        <v>87</v>
      </c>
      <c r="H841" s="121"/>
      <c r="I841" s="165"/>
      <c r="J841" s="165"/>
      <c r="K841" s="197"/>
      <c r="L841" s="197"/>
      <c r="M841" s="477"/>
      <c r="N841" s="164"/>
      <c r="O841" s="164">
        <f t="shared" ref="O841:X841" si="825">IF(N837&gt;0,N839/AVERAGE(N837,N842)*O840,0)</f>
        <v>0</v>
      </c>
      <c r="P841" s="164">
        <f t="shared" si="825"/>
        <v>83.52951539888744</v>
      </c>
      <c r="Q841" s="164">
        <f t="shared" si="825"/>
        <v>66.176609709769309</v>
      </c>
      <c r="R841" s="164">
        <f t="shared" si="825"/>
        <v>62.248944065463597</v>
      </c>
      <c r="S841" s="164">
        <f t="shared" si="825"/>
        <v>64.195236545655561</v>
      </c>
      <c r="T841" s="164">
        <f t="shared" si="825"/>
        <v>96.213817999054427</v>
      </c>
      <c r="U841" s="164">
        <f t="shared" si="825"/>
        <v>44.628768123515684</v>
      </c>
      <c r="V841" s="164">
        <f t="shared" si="825"/>
        <v>44.29207764661605</v>
      </c>
      <c r="W841" s="164">
        <f t="shared" si="825"/>
        <v>43.737345501501885</v>
      </c>
      <c r="X841" s="164">
        <f t="shared" si="825"/>
        <v>42.96288885403191</v>
      </c>
      <c r="Y841" s="164">
        <f t="shared" ref="Y841:AM841" si="826">IF(X837&gt;0,X839/AVERAGE(X837,X842)*Y840,0)</f>
        <v>41.806007268980608</v>
      </c>
      <c r="Z841" s="164">
        <f t="shared" si="826"/>
        <v>30.885878485690789</v>
      </c>
      <c r="AA841" s="164">
        <f t="shared" si="826"/>
        <v>22.244923626934213</v>
      </c>
      <c r="AB841" s="164">
        <f t="shared" si="826"/>
        <v>19.136726560217163</v>
      </c>
      <c r="AC841" s="164">
        <f t="shared" si="826"/>
        <v>16.022295230063559</v>
      </c>
      <c r="AD841" s="164">
        <f t="shared" si="826"/>
        <v>0.37722321831723854</v>
      </c>
      <c r="AE841" s="164">
        <f t="shared" si="826"/>
        <v>0.37820877061424368</v>
      </c>
      <c r="AF841" s="164">
        <f t="shared" si="826"/>
        <v>0.37822700276366839</v>
      </c>
      <c r="AG841" s="164">
        <f t="shared" si="826"/>
        <v>0.37824502329387455</v>
      </c>
      <c r="AH841" s="164">
        <f t="shared" si="826"/>
        <v>0.37826277401938124</v>
      </c>
      <c r="AI841" s="164">
        <f t="shared" si="826"/>
        <v>0.37828025566797102</v>
      </c>
      <c r="AJ841" s="164">
        <f t="shared" si="826"/>
        <v>0</v>
      </c>
      <c r="AK841" s="164">
        <f t="shared" si="826"/>
        <v>0</v>
      </c>
      <c r="AL841" s="164">
        <f t="shared" si="826"/>
        <v>0</v>
      </c>
      <c r="AM841" s="164">
        <f t="shared" si="826"/>
        <v>0</v>
      </c>
    </row>
    <row r="842" spans="1:39">
      <c r="A842" s="100"/>
      <c r="B842" s="100"/>
      <c r="C842" s="100"/>
      <c r="D842" s="179" t="str">
        <f t="shared" si="818"/>
        <v>Infrastructure</v>
      </c>
      <c r="E842" s="165" t="str">
        <f>H779</f>
        <v>Terminal Domestic - Turbo Prop</v>
      </c>
      <c r="F842" s="165"/>
      <c r="G842" s="200" t="s">
        <v>76</v>
      </c>
      <c r="H842" s="201"/>
      <c r="I842" s="200"/>
      <c r="J842" s="200"/>
      <c r="K842" s="199">
        <f>K460</f>
        <v>0</v>
      </c>
      <c r="L842" s="199">
        <f>L460</f>
        <v>0</v>
      </c>
      <c r="M842" s="527">
        <f>M460</f>
        <v>0</v>
      </c>
      <c r="N842" s="198">
        <f>N460</f>
        <v>3697.9924799267815</v>
      </c>
      <c r="O842" s="198">
        <f t="shared" ref="O842:AM842" si="827">SUM(O837:O838,O840)-SUM(O839,O841)</f>
        <v>12331.434143855064</v>
      </c>
      <c r="P842" s="198">
        <f t="shared" si="827"/>
        <v>13708.479366387113</v>
      </c>
      <c r="Q842" s="198">
        <f t="shared" si="827"/>
        <v>12327.826997732451</v>
      </c>
      <c r="R842" s="198">
        <f t="shared" si="827"/>
        <v>10816.990431323255</v>
      </c>
      <c r="S842" s="198">
        <f t="shared" si="827"/>
        <v>14807.394181518112</v>
      </c>
      <c r="T842" s="198">
        <f t="shared" si="827"/>
        <v>13186.498354582051</v>
      </c>
      <c r="U842" s="198">
        <f t="shared" si="827"/>
        <v>11576.665181848126</v>
      </c>
      <c r="V842" s="198">
        <f t="shared" si="827"/>
        <v>9926.9228702727542</v>
      </c>
      <c r="W842" s="198">
        <f t="shared" si="827"/>
        <v>8236.4917330531116</v>
      </c>
      <c r="X842" s="198">
        <f t="shared" si="827"/>
        <v>6504.5742740504484</v>
      </c>
      <c r="Y842" s="198">
        <f t="shared" si="827"/>
        <v>5241.0227373417092</v>
      </c>
      <c r="Z842" s="198">
        <f t="shared" si="827"/>
        <v>4361.6698443287769</v>
      </c>
      <c r="AA842" s="198">
        <f t="shared" si="827"/>
        <v>3602.319089236431</v>
      </c>
      <c r="AB842" s="198">
        <f t="shared" si="827"/>
        <v>2963.238012833775</v>
      </c>
      <c r="AC842" s="198">
        <f t="shared" si="827"/>
        <v>3006.3158446551474</v>
      </c>
      <c r="AD842" s="198">
        <f t="shared" si="827"/>
        <v>3066.1156942838006</v>
      </c>
      <c r="AE842" s="198">
        <f t="shared" si="827"/>
        <v>3127.409554600873</v>
      </c>
      <c r="AF842" s="198">
        <f t="shared" si="827"/>
        <v>3190.2357431937226</v>
      </c>
      <c r="AG842" s="198">
        <f t="shared" si="827"/>
        <v>3254.632568480863</v>
      </c>
      <c r="AH842" s="198">
        <f t="shared" si="827"/>
        <v>3320.6392966494568</v>
      </c>
      <c r="AI842" s="198">
        <f t="shared" si="827"/>
        <v>3403.2769988100254</v>
      </c>
      <c r="AJ842" s="198">
        <f t="shared" si="827"/>
        <v>3488.3589237802762</v>
      </c>
      <c r="AK842" s="198">
        <f t="shared" si="827"/>
        <v>3488.3589237802762</v>
      </c>
      <c r="AL842" s="198">
        <f t="shared" si="827"/>
        <v>3488.3589237802762</v>
      </c>
      <c r="AM842" s="198">
        <f t="shared" si="827"/>
        <v>3488.3589237802762</v>
      </c>
    </row>
    <row r="843" spans="1:39">
      <c r="A843" s="100"/>
      <c r="B843" s="100"/>
      <c r="C843" s="100"/>
      <c r="D843" s="179"/>
      <c r="E843" s="165"/>
      <c r="F843" s="165"/>
      <c r="G843" s="165"/>
      <c r="H843" s="121"/>
      <c r="I843" s="165"/>
      <c r="J843" s="165"/>
      <c r="K843" s="197"/>
      <c r="L843" s="197"/>
      <c r="M843" s="477"/>
      <c r="N843" s="164"/>
      <c r="O843" s="164"/>
      <c r="P843" s="164"/>
      <c r="Q843" s="164"/>
      <c r="R843" s="164"/>
      <c r="S843" s="164"/>
      <c r="T843" s="164"/>
      <c r="U843" s="164"/>
      <c r="V843" s="164"/>
      <c r="W843" s="164"/>
      <c r="X843" s="164"/>
      <c r="Y843" s="164"/>
      <c r="Z843" s="164"/>
      <c r="AA843" s="164"/>
      <c r="AB843" s="164"/>
      <c r="AC843" s="164"/>
      <c r="AD843" s="164"/>
      <c r="AE843" s="164"/>
      <c r="AF843" s="164"/>
      <c r="AG843" s="164"/>
      <c r="AH843" s="164"/>
      <c r="AI843" s="164"/>
      <c r="AJ843" s="164"/>
      <c r="AK843" s="164"/>
      <c r="AL843" s="164"/>
      <c r="AM843" s="164"/>
    </row>
    <row r="844" spans="1:39">
      <c r="A844" s="100"/>
      <c r="B844" s="100"/>
      <c r="C844" s="100"/>
      <c r="D844" s="179"/>
      <c r="E844" s="165"/>
      <c r="F844" s="165"/>
      <c r="G844" s="206" t="s">
        <v>31</v>
      </c>
      <c r="H844" s="121"/>
      <c r="I844" s="165"/>
      <c r="J844" s="165"/>
      <c r="K844" s="204"/>
      <c r="L844" s="197"/>
      <c r="M844" s="477"/>
      <c r="N844" s="164"/>
      <c r="O844" s="164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  <c r="AA844" s="165"/>
      <c r="AB844" s="165"/>
      <c r="AC844" s="165"/>
      <c r="AD844" s="165"/>
      <c r="AE844" s="165"/>
      <c r="AF844" s="165"/>
      <c r="AG844" s="165"/>
      <c r="AH844" s="165"/>
      <c r="AI844" s="165"/>
      <c r="AJ844" s="165"/>
      <c r="AK844" s="165"/>
      <c r="AL844" s="165"/>
      <c r="AM844" s="165"/>
    </row>
    <row r="845" spans="1:39">
      <c r="A845" s="100"/>
      <c r="B845" s="100"/>
      <c r="C845" s="100"/>
      <c r="D845" s="179"/>
      <c r="E845" s="165"/>
      <c r="F845" s="165"/>
      <c r="G845" s="205"/>
      <c r="H845" s="121"/>
      <c r="I845" s="165"/>
      <c r="J845" s="165"/>
      <c r="K845" s="204"/>
      <c r="L845" s="197"/>
      <c r="M845" s="477"/>
      <c r="N845" s="164"/>
      <c r="O845" s="164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  <c r="AA845" s="165"/>
      <c r="AB845" s="165"/>
      <c r="AC845" s="165"/>
      <c r="AD845" s="165"/>
      <c r="AE845" s="165"/>
      <c r="AF845" s="165"/>
      <c r="AG845" s="165"/>
      <c r="AH845" s="165"/>
      <c r="AI845" s="165"/>
      <c r="AJ845" s="165"/>
      <c r="AK845" s="165"/>
      <c r="AL845" s="165"/>
      <c r="AM845" s="165"/>
    </row>
    <row r="846" spans="1:39">
      <c r="A846" s="100"/>
      <c r="B846" s="100"/>
      <c r="C846" s="100"/>
      <c r="D846" s="179" t="str">
        <f t="shared" ref="D846:D851" si="828">$G$563</f>
        <v>Terminal facilities</v>
      </c>
      <c r="E846" s="165" t="str">
        <f>H779</f>
        <v>Terminal Domestic - Turbo Prop</v>
      </c>
      <c r="F846" s="165"/>
      <c r="G846" s="165" t="s">
        <v>80</v>
      </c>
      <c r="H846" s="121"/>
      <c r="I846" s="165"/>
      <c r="J846" s="165"/>
      <c r="K846" s="530">
        <f>K851</f>
        <v>0</v>
      </c>
      <c r="L846" s="530">
        <f>L851</f>
        <v>0</v>
      </c>
      <c r="M846" s="531"/>
      <c r="N846" s="164"/>
      <c r="O846" s="164">
        <f t="shared" ref="O846:Y846" si="829">N851</f>
        <v>12658555.244039794</v>
      </c>
      <c r="P846" s="164">
        <f t="shared" si="829"/>
        <v>12467970.179759813</v>
      </c>
      <c r="Q846" s="164">
        <f t="shared" si="829"/>
        <v>12254260.829825563</v>
      </c>
      <c r="R846" s="164">
        <f t="shared" si="829"/>
        <v>12036091.711248031</v>
      </c>
      <c r="S846" s="164">
        <f t="shared" si="829"/>
        <v>11825603.956900366</v>
      </c>
      <c r="T846" s="164">
        <f t="shared" si="829"/>
        <v>11598598.522038342</v>
      </c>
      <c r="U846" s="164">
        <f t="shared" si="829"/>
        <v>11402994.769989142</v>
      </c>
      <c r="V846" s="164">
        <f t="shared" si="829"/>
        <v>11202486.861330215</v>
      </c>
      <c r="W846" s="164">
        <f t="shared" si="829"/>
        <v>10996970.590072343</v>
      </c>
      <c r="X846" s="164">
        <f t="shared" si="829"/>
        <v>10786321.006314538</v>
      </c>
      <c r="Y846" s="164">
        <f t="shared" si="829"/>
        <v>10570410.069657493</v>
      </c>
      <c r="Z846" s="164">
        <f t="shared" ref="Z846:AM846" si="830">Y851</f>
        <v>10349810.104526302</v>
      </c>
      <c r="AA846" s="164">
        <f t="shared" si="830"/>
        <v>10124318.468073647</v>
      </c>
      <c r="AB846" s="164">
        <f t="shared" si="830"/>
        <v>9893689.9801886231</v>
      </c>
      <c r="AC846" s="164">
        <f t="shared" si="830"/>
        <v>9659499.4419974182</v>
      </c>
      <c r="AD846" s="164">
        <f t="shared" si="830"/>
        <v>9420264.1361743137</v>
      </c>
      <c r="AE846" s="164">
        <f t="shared" si="830"/>
        <v>9175222.4212376494</v>
      </c>
      <c r="AF846" s="164">
        <f t="shared" si="830"/>
        <v>8924131.1892852802</v>
      </c>
      <c r="AG846" s="164">
        <f t="shared" si="830"/>
        <v>8666839.1633301526</v>
      </c>
      <c r="AH846" s="164">
        <f t="shared" si="830"/>
        <v>8403125.3125024624</v>
      </c>
      <c r="AI846" s="164">
        <f t="shared" si="830"/>
        <v>8132828.2573444871</v>
      </c>
      <c r="AJ846" s="164">
        <f t="shared" si="830"/>
        <v>7855784.2897156207</v>
      </c>
      <c r="AK846" s="164">
        <f t="shared" si="830"/>
        <v>7571825.727631391</v>
      </c>
      <c r="AL846" s="164">
        <f t="shared" si="830"/>
        <v>7102990.34822251</v>
      </c>
      <c r="AM846" s="164">
        <f t="shared" si="830"/>
        <v>6634154.9688136289</v>
      </c>
    </row>
    <row r="847" spans="1:39">
      <c r="A847" s="100"/>
      <c r="B847" s="100"/>
      <c r="C847" s="100"/>
      <c r="D847" s="179" t="str">
        <f t="shared" si="828"/>
        <v>Terminal facilities</v>
      </c>
      <c r="E847" s="165" t="str">
        <f>H779</f>
        <v>Terminal Domestic - Turbo Prop</v>
      </c>
      <c r="F847" s="165"/>
      <c r="G847" s="165" t="s">
        <v>83</v>
      </c>
      <c r="H847" s="121"/>
      <c r="I847" s="165"/>
      <c r="J847" s="165"/>
      <c r="K847" s="532"/>
      <c r="L847" s="532"/>
      <c r="M847" s="533"/>
      <c r="N847" s="164"/>
      <c r="O847" s="164">
        <f t="shared" ref="O847:X847" si="831">SUMIFS(O$63:O$80,$J$63:$J$80,$G844,$K$63:$K$80,$G847)</f>
        <v>14710.353506359112</v>
      </c>
      <c r="P847" s="164">
        <f t="shared" si="831"/>
        <v>6007.7083719970597</v>
      </c>
      <c r="Q847" s="164">
        <f t="shared" si="831"/>
        <v>6667.2502693576062</v>
      </c>
      <c r="R847" s="164">
        <f t="shared" si="831"/>
        <v>19604.916072040651</v>
      </c>
      <c r="S847" s="164">
        <f t="shared" si="831"/>
        <v>8340.2580456472933</v>
      </c>
      <c r="T847" s="164">
        <f t="shared" si="831"/>
        <v>0</v>
      </c>
      <c r="U847" s="164">
        <f t="shared" si="831"/>
        <v>0</v>
      </c>
      <c r="V847" s="164">
        <f t="shared" si="831"/>
        <v>0</v>
      </c>
      <c r="W847" s="164">
        <f t="shared" si="831"/>
        <v>0</v>
      </c>
      <c r="X847" s="164">
        <f t="shared" si="831"/>
        <v>0</v>
      </c>
      <c r="Y847" s="164">
        <f>SUMIFS(Y$63:Y$80,$J$63:$J$80,$G844,$K$63:$K$80,$G847)</f>
        <v>0</v>
      </c>
      <c r="Z847" s="164">
        <f t="shared" ref="Z847:AM847" si="832">SUMIFS(Z$63:Z$80,$J$63:$J$80,$G844,$K$63:$K$80,$G847)</f>
        <v>0</v>
      </c>
      <c r="AA847" s="164">
        <f t="shared" si="832"/>
        <v>0</v>
      </c>
      <c r="AB847" s="164">
        <f t="shared" si="832"/>
        <v>0</v>
      </c>
      <c r="AC847" s="164">
        <f t="shared" si="832"/>
        <v>0</v>
      </c>
      <c r="AD847" s="164">
        <f t="shared" si="832"/>
        <v>0</v>
      </c>
      <c r="AE847" s="164">
        <f t="shared" si="832"/>
        <v>0</v>
      </c>
      <c r="AF847" s="164">
        <f t="shared" si="832"/>
        <v>0</v>
      </c>
      <c r="AG847" s="164">
        <f t="shared" si="832"/>
        <v>0</v>
      </c>
      <c r="AH847" s="164">
        <f t="shared" si="832"/>
        <v>0</v>
      </c>
      <c r="AI847" s="164">
        <f t="shared" si="832"/>
        <v>0</v>
      </c>
      <c r="AJ847" s="164">
        <f t="shared" si="832"/>
        <v>0</v>
      </c>
      <c r="AK847" s="164">
        <f t="shared" si="832"/>
        <v>0</v>
      </c>
      <c r="AL847" s="164">
        <f t="shared" si="832"/>
        <v>0</v>
      </c>
      <c r="AM847" s="164">
        <f t="shared" si="832"/>
        <v>0</v>
      </c>
    </row>
    <row r="848" spans="1:39">
      <c r="A848" s="100"/>
      <c r="B848" s="100"/>
      <c r="C848" s="100"/>
      <c r="D848" s="179" t="str">
        <f t="shared" si="828"/>
        <v>Terminal facilities</v>
      </c>
      <c r="E848" s="165" t="str">
        <f>H779</f>
        <v>Terminal Domestic - Turbo Prop</v>
      </c>
      <c r="F848" s="165"/>
      <c r="G848" s="165" t="s">
        <v>78</v>
      </c>
      <c r="H848" s="121"/>
      <c r="I848" s="165"/>
      <c r="J848" s="165"/>
      <c r="K848" s="197"/>
      <c r="L848" s="197"/>
      <c r="M848" s="477"/>
      <c r="N848" s="164"/>
      <c r="O848" s="164">
        <f t="shared" ref="O848:X848" si="833">O467+SUMIFS(O$63:O$80,$J$63:$J$80,$G844,$K$63:$K$80,$G848)</f>
        <v>471125.07791117544</v>
      </c>
      <c r="P848" s="164">
        <f t="shared" si="833"/>
        <v>471725.84874837514</v>
      </c>
      <c r="Q848" s="164">
        <f t="shared" si="833"/>
        <v>472355.23717380251</v>
      </c>
      <c r="R848" s="164">
        <f t="shared" si="833"/>
        <v>473020.23017648055</v>
      </c>
      <c r="S848" s="164">
        <f t="shared" si="833"/>
        <v>473837.57546495396</v>
      </c>
      <c r="T848" s="164">
        <f t="shared" si="833"/>
        <v>473837.57546495396</v>
      </c>
      <c r="U848" s="164">
        <f t="shared" si="833"/>
        <v>473837.57546495396</v>
      </c>
      <c r="V848" s="164">
        <f t="shared" si="833"/>
        <v>473837.57546495396</v>
      </c>
      <c r="W848" s="164">
        <f t="shared" si="833"/>
        <v>473837.57546495396</v>
      </c>
      <c r="X848" s="164">
        <f t="shared" si="833"/>
        <v>473837.57546495396</v>
      </c>
      <c r="Y848" s="164">
        <f>Y467+SUMIFS(Y$63:Y$80,$J$63:$J$80,$G844,$K$63:$K$80,$G848)</f>
        <v>473134.0368189977</v>
      </c>
      <c r="Z848" s="164">
        <f t="shared" ref="Z848:AM848" si="834">Z467+SUMIFS(Z$63:Z$80,$J$63:$J$80,$G844,$K$63:$K$80,$G848)</f>
        <v>472533.26598179794</v>
      </c>
      <c r="AA848" s="164">
        <f t="shared" si="834"/>
        <v>472053.22396240424</v>
      </c>
      <c r="AB848" s="164">
        <f t="shared" si="834"/>
        <v>469867.42082362849</v>
      </c>
      <c r="AC848" s="164">
        <f t="shared" si="834"/>
        <v>469116.79759952024</v>
      </c>
      <c r="AD848" s="164">
        <f t="shared" si="834"/>
        <v>468967.45119348663</v>
      </c>
      <c r="AE848" s="164">
        <f t="shared" si="834"/>
        <v>468902.10147324647</v>
      </c>
      <c r="AF848" s="164">
        <f t="shared" si="834"/>
        <v>468835.3794088813</v>
      </c>
      <c r="AG848" s="164">
        <f t="shared" si="834"/>
        <v>468835.3794088813</v>
      </c>
      <c r="AH848" s="164">
        <f t="shared" si="834"/>
        <v>468835.3794088813</v>
      </c>
      <c r="AI848" s="164">
        <f t="shared" si="834"/>
        <v>468835.3794088813</v>
      </c>
      <c r="AJ848" s="164">
        <f t="shared" si="834"/>
        <v>468835.3794088813</v>
      </c>
      <c r="AK848" s="164">
        <f t="shared" si="834"/>
        <v>468835.3794088813</v>
      </c>
      <c r="AL848" s="164">
        <f t="shared" si="834"/>
        <v>468835.3794088813</v>
      </c>
      <c r="AM848" s="164">
        <f t="shared" si="834"/>
        <v>468835.3794088813</v>
      </c>
    </row>
    <row r="849" spans="1:39">
      <c r="A849" s="100"/>
      <c r="B849" s="100"/>
      <c r="C849" s="100"/>
      <c r="D849" s="179" t="str">
        <f t="shared" si="828"/>
        <v>Terminal facilities</v>
      </c>
      <c r="E849" s="165" t="str">
        <f>H779</f>
        <v>Terminal Domestic - Turbo Prop</v>
      </c>
      <c r="F849" s="165"/>
      <c r="G849" s="165" t="s">
        <v>88</v>
      </c>
      <c r="H849" s="121"/>
      <c r="I849" s="165"/>
      <c r="J849" s="165"/>
      <c r="K849" s="197"/>
      <c r="L849" s="197"/>
      <c r="M849" s="477"/>
      <c r="N849" s="230"/>
      <c r="O849" s="230">
        <f>N851*'Volume &amp; CPI forecast'!O$13</f>
        <v>265829.66012483567</v>
      </c>
      <c r="P849" s="230">
        <f>O851*'Volume &amp; CPI forecast'!P$13</f>
        <v>261827.3737749561</v>
      </c>
      <c r="Q849" s="230">
        <f>P851*'Volume &amp; CPI forecast'!Q$13</f>
        <v>257339.47742633685</v>
      </c>
      <c r="R849" s="230">
        <f>Q851*'Volume &amp; CPI forecast'!R$13</f>
        <v>252757.92593620866</v>
      </c>
      <c r="S849" s="230">
        <f>R851*'Volume &amp; CPI forecast'!S$13</f>
        <v>248337.6830949077</v>
      </c>
      <c r="T849" s="230">
        <f>S851*'Volume &amp; CPI forecast'!T$13</f>
        <v>289964.96305095858</v>
      </c>
      <c r="U849" s="230">
        <f>T851*'Volume &amp; CPI forecast'!U$13</f>
        <v>285074.86924972857</v>
      </c>
      <c r="V849" s="230">
        <f>U851*'Volume &amp; CPI forecast'!V$13</f>
        <v>280062.17153325537</v>
      </c>
      <c r="W849" s="230">
        <f>V851*'Volume &amp; CPI forecast'!W$13</f>
        <v>274924.2647518086</v>
      </c>
      <c r="X849" s="230">
        <f>W851*'Volume &amp; CPI forecast'!X$13</f>
        <v>269658.02515786345</v>
      </c>
      <c r="Y849" s="230">
        <f>X851*'Volume &amp; CPI forecast'!Y$13</f>
        <v>264260.25174143736</v>
      </c>
      <c r="Z849" s="230">
        <f>Y851*'Volume &amp; CPI forecast'!Z$13</f>
        <v>258745.25261315756</v>
      </c>
      <c r="AA849" s="230">
        <f>Z851*'Volume &amp; CPI forecast'!AA$13</f>
        <v>253107.96170184121</v>
      </c>
      <c r="AB849" s="230">
        <f>AA851*'Volume &amp; CPI forecast'!AB$13</f>
        <v>247342.24950471558</v>
      </c>
      <c r="AC849" s="230">
        <f>AB851*'Volume &amp; CPI forecast'!AC$13</f>
        <v>241487.48604993545</v>
      </c>
      <c r="AD849" s="230">
        <f>AC851*'Volume &amp; CPI forecast'!AD$13</f>
        <v>235506.60340435785</v>
      </c>
      <c r="AE849" s="230">
        <f>AD851*'Volume &amp; CPI forecast'!AE$13</f>
        <v>229380.56053094123</v>
      </c>
      <c r="AF849" s="230">
        <f>AE851*'Volume &amp; CPI forecast'!AF$13</f>
        <v>223103.27973213201</v>
      </c>
      <c r="AG849" s="230">
        <f>AF851*'Volume &amp; CPI forecast'!AG$13</f>
        <v>216670.97908325383</v>
      </c>
      <c r="AH849" s="230">
        <f>AG851*'Volume &amp; CPI forecast'!AH$13</f>
        <v>210078.13281256158</v>
      </c>
      <c r="AI849" s="230">
        <f>AH851*'Volume &amp; CPI forecast'!AI$13</f>
        <v>203320.70643361218</v>
      </c>
      <c r="AJ849" s="230">
        <f>AI851*'Volume &amp; CPI forecast'!AJ$13</f>
        <v>196394.60724289052</v>
      </c>
      <c r="AK849" s="230">
        <f>AJ851*'Volume &amp; CPI forecast'!AK$13</f>
        <v>0</v>
      </c>
      <c r="AL849" s="230">
        <f>AK851*'Volume &amp; CPI forecast'!AL$13</f>
        <v>0</v>
      </c>
      <c r="AM849" s="230">
        <f>AL851*'Volume &amp; CPI forecast'!AM$13</f>
        <v>0</v>
      </c>
    </row>
    <row r="850" spans="1:39">
      <c r="A850" s="100"/>
      <c r="B850" s="100"/>
      <c r="C850" s="100"/>
      <c r="D850" s="179" t="str">
        <f t="shared" si="828"/>
        <v>Terminal facilities</v>
      </c>
      <c r="E850" s="165" t="str">
        <f>H779</f>
        <v>Terminal Domestic - Turbo Prop</v>
      </c>
      <c r="F850" s="165"/>
      <c r="G850" s="165" t="s">
        <v>87</v>
      </c>
      <c r="H850" s="121"/>
      <c r="I850" s="165"/>
      <c r="J850" s="165"/>
      <c r="K850" s="197"/>
      <c r="L850" s="197"/>
      <c r="M850" s="477"/>
      <c r="N850" s="164"/>
      <c r="O850" s="164">
        <f t="shared" ref="O850:X850" si="835">IF(N846&gt;0,N848/AVERAGE(N846,N851)*O849,0)</f>
        <v>0</v>
      </c>
      <c r="P850" s="164">
        <f t="shared" si="835"/>
        <v>9818.5833328284552</v>
      </c>
      <c r="Q850" s="164">
        <f t="shared" si="835"/>
        <v>9820.6090994243168</v>
      </c>
      <c r="R850" s="164">
        <f t="shared" si="835"/>
        <v>9830.3661794345735</v>
      </c>
      <c r="S850" s="164">
        <f t="shared" si="835"/>
        <v>9845.8005376247747</v>
      </c>
      <c r="T850" s="164">
        <f t="shared" si="835"/>
        <v>11731.139635203177</v>
      </c>
      <c r="U850" s="164">
        <f t="shared" si="835"/>
        <v>11745.202443701981</v>
      </c>
      <c r="V850" s="164">
        <f t="shared" si="835"/>
        <v>11740.867326171856</v>
      </c>
      <c r="W850" s="164">
        <f t="shared" si="835"/>
        <v>11736.273044659629</v>
      </c>
      <c r="X850" s="164">
        <f t="shared" si="835"/>
        <v>11731.386349954846</v>
      </c>
      <c r="Y850" s="164">
        <f t="shared" ref="Y850:AM850" si="836">IF(X846&gt;0,X848/AVERAGE(X846,X851)*Y849,0)</f>
        <v>11726.180053631821</v>
      </c>
      <c r="Z850" s="164">
        <f t="shared" si="836"/>
        <v>11703.623084013821</v>
      </c>
      <c r="AA850" s="164">
        <f t="shared" si="836"/>
        <v>11683.225624462217</v>
      </c>
      <c r="AB850" s="164">
        <f t="shared" si="836"/>
        <v>11665.366872292432</v>
      </c>
      <c r="AC850" s="164">
        <f t="shared" si="836"/>
        <v>11605.994273519347</v>
      </c>
      <c r="AD850" s="164">
        <f t="shared" si="836"/>
        <v>11580.867147535075</v>
      </c>
      <c r="AE850" s="164">
        <f t="shared" si="836"/>
        <v>11569.691010064131</v>
      </c>
      <c r="AF850" s="164">
        <f t="shared" si="836"/>
        <v>11559.926278378041</v>
      </c>
      <c r="AG850" s="164">
        <f t="shared" si="836"/>
        <v>11549.450502062577</v>
      </c>
      <c r="AH850" s="164">
        <f t="shared" si="836"/>
        <v>11539.808561655786</v>
      </c>
      <c r="AI850" s="164">
        <f t="shared" si="836"/>
        <v>11529.294653597242</v>
      </c>
      <c r="AJ850" s="164">
        <f t="shared" si="836"/>
        <v>11517.789918238945</v>
      </c>
      <c r="AK850" s="164">
        <f t="shared" si="836"/>
        <v>0</v>
      </c>
      <c r="AL850" s="164">
        <f t="shared" si="836"/>
        <v>0</v>
      </c>
      <c r="AM850" s="164">
        <f t="shared" si="836"/>
        <v>0</v>
      </c>
    </row>
    <row r="851" spans="1:39">
      <c r="A851" s="100"/>
      <c r="B851" s="100"/>
      <c r="C851" s="100"/>
      <c r="D851" s="179" t="str">
        <f t="shared" si="828"/>
        <v>Terminal facilities</v>
      </c>
      <c r="E851" s="165" t="str">
        <f>H779</f>
        <v>Terminal Domestic - Turbo Prop</v>
      </c>
      <c r="F851" s="165"/>
      <c r="G851" s="200" t="s">
        <v>76</v>
      </c>
      <c r="H851" s="201"/>
      <c r="I851" s="200"/>
      <c r="J851" s="200"/>
      <c r="K851" s="199">
        <f>K469</f>
        <v>0</v>
      </c>
      <c r="L851" s="199">
        <f>L469</f>
        <v>0</v>
      </c>
      <c r="M851" s="527">
        <f>M469</f>
        <v>0</v>
      </c>
      <c r="N851" s="198">
        <f>N469</f>
        <v>12658555.244039794</v>
      </c>
      <c r="O851" s="198">
        <f t="shared" ref="O851:AM851" si="837">SUM(O846:O847,O849)-SUM(O848,O850)</f>
        <v>12467970.179759813</v>
      </c>
      <c r="P851" s="198">
        <f t="shared" si="837"/>
        <v>12254260.829825563</v>
      </c>
      <c r="Q851" s="198">
        <f t="shared" si="837"/>
        <v>12036091.711248031</v>
      </c>
      <c r="R851" s="198">
        <f t="shared" si="837"/>
        <v>11825603.956900366</v>
      </c>
      <c r="S851" s="198">
        <f t="shared" si="837"/>
        <v>11598598.522038342</v>
      </c>
      <c r="T851" s="198">
        <f t="shared" si="837"/>
        <v>11402994.769989142</v>
      </c>
      <c r="U851" s="198">
        <f t="shared" si="837"/>
        <v>11202486.861330215</v>
      </c>
      <c r="V851" s="198">
        <f t="shared" si="837"/>
        <v>10996970.590072343</v>
      </c>
      <c r="W851" s="198">
        <f t="shared" si="837"/>
        <v>10786321.006314538</v>
      </c>
      <c r="X851" s="198">
        <f t="shared" si="837"/>
        <v>10570410.069657493</v>
      </c>
      <c r="Y851" s="198">
        <f t="shared" si="837"/>
        <v>10349810.104526302</v>
      </c>
      <c r="Z851" s="198">
        <f t="shared" si="837"/>
        <v>10124318.468073647</v>
      </c>
      <c r="AA851" s="198">
        <f t="shared" si="837"/>
        <v>9893689.9801886231</v>
      </c>
      <c r="AB851" s="198">
        <f t="shared" si="837"/>
        <v>9659499.4419974182</v>
      </c>
      <c r="AC851" s="198">
        <f t="shared" si="837"/>
        <v>9420264.1361743137</v>
      </c>
      <c r="AD851" s="198">
        <f t="shared" si="837"/>
        <v>9175222.4212376494</v>
      </c>
      <c r="AE851" s="198">
        <f t="shared" si="837"/>
        <v>8924131.1892852802</v>
      </c>
      <c r="AF851" s="198">
        <f t="shared" si="837"/>
        <v>8666839.1633301526</v>
      </c>
      <c r="AG851" s="198">
        <f t="shared" si="837"/>
        <v>8403125.3125024624</v>
      </c>
      <c r="AH851" s="198">
        <f t="shared" si="837"/>
        <v>8132828.2573444871</v>
      </c>
      <c r="AI851" s="198">
        <f t="shared" si="837"/>
        <v>7855784.2897156207</v>
      </c>
      <c r="AJ851" s="198">
        <f t="shared" si="837"/>
        <v>7571825.727631391</v>
      </c>
      <c r="AK851" s="198">
        <f t="shared" si="837"/>
        <v>7102990.34822251</v>
      </c>
      <c r="AL851" s="198">
        <f t="shared" si="837"/>
        <v>6634154.9688136289</v>
      </c>
      <c r="AM851" s="198">
        <f t="shared" si="837"/>
        <v>6165319.5894047478</v>
      </c>
    </row>
    <row r="852" spans="1:39">
      <c r="A852" s="100"/>
      <c r="B852" s="100"/>
      <c r="C852" s="100"/>
      <c r="D852" s="179"/>
      <c r="E852" s="165"/>
      <c r="F852" s="165"/>
      <c r="G852" s="165"/>
      <c r="H852" s="121"/>
      <c r="I852" s="165"/>
      <c r="J852" s="165"/>
      <c r="K852" s="197"/>
      <c r="L852" s="197"/>
      <c r="M852" s="477"/>
      <c r="N852" s="164"/>
      <c r="O852" s="164"/>
      <c r="P852" s="164"/>
      <c r="Q852" s="164"/>
      <c r="R852" s="164"/>
      <c r="S852" s="164"/>
      <c r="T852" s="164"/>
      <c r="U852" s="164"/>
      <c r="V852" s="164"/>
      <c r="W852" s="164"/>
      <c r="X852" s="164"/>
      <c r="Y852" s="164"/>
      <c r="Z852" s="164"/>
      <c r="AA852" s="164"/>
      <c r="AB852" s="164"/>
      <c r="AC852" s="164"/>
      <c r="AD852" s="164"/>
      <c r="AE852" s="164"/>
      <c r="AF852" s="164"/>
      <c r="AG852" s="164"/>
      <c r="AH852" s="164"/>
      <c r="AI852" s="164"/>
      <c r="AJ852" s="164"/>
      <c r="AK852" s="164"/>
      <c r="AL852" s="164"/>
      <c r="AM852" s="164"/>
    </row>
    <row r="853" spans="1:39">
      <c r="A853" s="100"/>
      <c r="B853" s="100"/>
      <c r="C853" s="100"/>
      <c r="D853" s="179"/>
      <c r="E853" s="165"/>
      <c r="F853" s="165"/>
      <c r="G853" s="206" t="s">
        <v>30</v>
      </c>
      <c r="H853" s="121"/>
      <c r="I853" s="165"/>
      <c r="J853" s="165"/>
      <c r="K853" s="204"/>
      <c r="L853" s="197"/>
      <c r="M853" s="477"/>
      <c r="N853" s="164"/>
      <c r="O853" s="164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  <c r="AA853" s="165"/>
      <c r="AB853" s="165"/>
      <c r="AC853" s="165"/>
      <c r="AD853" s="165"/>
      <c r="AE853" s="165"/>
      <c r="AF853" s="165"/>
      <c r="AG853" s="165"/>
      <c r="AH853" s="165"/>
      <c r="AI853" s="165"/>
      <c r="AJ853" s="165"/>
      <c r="AK853" s="165"/>
      <c r="AL853" s="165"/>
      <c r="AM853" s="165"/>
    </row>
    <row r="854" spans="1:39">
      <c r="A854" s="100"/>
      <c r="B854" s="100"/>
      <c r="C854" s="100"/>
      <c r="D854" s="179"/>
      <c r="E854" s="165"/>
      <c r="F854" s="165"/>
      <c r="G854" s="205"/>
      <c r="H854" s="121"/>
      <c r="I854" s="165"/>
      <c r="J854" s="165"/>
      <c r="K854" s="204"/>
      <c r="L854" s="197"/>
      <c r="M854" s="477"/>
      <c r="N854" s="164"/>
      <c r="O854" s="164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  <c r="AA854" s="165"/>
      <c r="AB854" s="165"/>
      <c r="AC854" s="165"/>
      <c r="AD854" s="165"/>
      <c r="AE854" s="165"/>
      <c r="AF854" s="165"/>
      <c r="AG854" s="165"/>
      <c r="AH854" s="165"/>
      <c r="AI854" s="165"/>
      <c r="AJ854" s="165"/>
      <c r="AK854" s="165"/>
      <c r="AL854" s="165"/>
      <c r="AM854" s="165"/>
    </row>
    <row r="855" spans="1:39">
      <c r="A855" s="100"/>
      <c r="B855" s="100"/>
      <c r="C855" s="100"/>
      <c r="D855" s="179" t="str">
        <f t="shared" ref="D855:D860" si="838">$G$572</f>
        <v>Car parking</v>
      </c>
      <c r="E855" s="165" t="str">
        <f>H779</f>
        <v>Terminal Domestic - Turbo Prop</v>
      </c>
      <c r="F855" s="165"/>
      <c r="G855" s="165" t="s">
        <v>80</v>
      </c>
      <c r="H855" s="121"/>
      <c r="I855" s="165"/>
      <c r="J855" s="165"/>
      <c r="K855" s="530">
        <f>K860</f>
        <v>0</v>
      </c>
      <c r="L855" s="530">
        <f>L860</f>
        <v>0</v>
      </c>
      <c r="M855" s="531"/>
      <c r="N855" s="164"/>
      <c r="O855" s="164">
        <f t="shared" ref="O855:Y855" si="839">N860</f>
        <v>0</v>
      </c>
      <c r="P855" s="164">
        <f t="shared" si="839"/>
        <v>0</v>
      </c>
      <c r="Q855" s="164">
        <f t="shared" si="839"/>
        <v>0</v>
      </c>
      <c r="R855" s="164">
        <f t="shared" si="839"/>
        <v>0</v>
      </c>
      <c r="S855" s="164">
        <f t="shared" si="839"/>
        <v>0</v>
      </c>
      <c r="T855" s="164">
        <f t="shared" si="839"/>
        <v>0</v>
      </c>
      <c r="U855" s="164">
        <f t="shared" si="839"/>
        <v>0</v>
      </c>
      <c r="V855" s="164">
        <f t="shared" si="839"/>
        <v>0</v>
      </c>
      <c r="W855" s="164">
        <f t="shared" si="839"/>
        <v>0</v>
      </c>
      <c r="X855" s="164">
        <f t="shared" si="839"/>
        <v>0</v>
      </c>
      <c r="Y855" s="164">
        <f t="shared" si="839"/>
        <v>0</v>
      </c>
      <c r="Z855" s="164">
        <f t="shared" ref="Z855:AM855" si="840">Y860</f>
        <v>0</v>
      </c>
      <c r="AA855" s="164">
        <f t="shared" si="840"/>
        <v>0</v>
      </c>
      <c r="AB855" s="164">
        <f t="shared" si="840"/>
        <v>0</v>
      </c>
      <c r="AC855" s="164">
        <f t="shared" si="840"/>
        <v>0</v>
      </c>
      <c r="AD855" s="164">
        <f t="shared" si="840"/>
        <v>0</v>
      </c>
      <c r="AE855" s="164">
        <f t="shared" si="840"/>
        <v>0</v>
      </c>
      <c r="AF855" s="164">
        <f t="shared" si="840"/>
        <v>0</v>
      </c>
      <c r="AG855" s="164">
        <f t="shared" si="840"/>
        <v>0</v>
      </c>
      <c r="AH855" s="164">
        <f t="shared" si="840"/>
        <v>0</v>
      </c>
      <c r="AI855" s="164">
        <f t="shared" si="840"/>
        <v>0</v>
      </c>
      <c r="AJ855" s="164">
        <f t="shared" si="840"/>
        <v>0</v>
      </c>
      <c r="AK855" s="164">
        <f t="shared" si="840"/>
        <v>0</v>
      </c>
      <c r="AL855" s="164">
        <f t="shared" si="840"/>
        <v>0</v>
      </c>
      <c r="AM855" s="164">
        <f t="shared" si="840"/>
        <v>0</v>
      </c>
    </row>
    <row r="856" spans="1:39">
      <c r="A856" s="100"/>
      <c r="B856" s="100"/>
      <c r="C856" s="100"/>
      <c r="D856" s="179" t="str">
        <f t="shared" si="838"/>
        <v>Car parking</v>
      </c>
      <c r="E856" s="165" t="str">
        <f>H779</f>
        <v>Terminal Domestic - Turbo Prop</v>
      </c>
      <c r="F856" s="165"/>
      <c r="G856" s="165" t="s">
        <v>83</v>
      </c>
      <c r="H856" s="121"/>
      <c r="I856" s="165"/>
      <c r="J856" s="165"/>
      <c r="K856" s="532"/>
      <c r="L856" s="532"/>
      <c r="M856" s="533"/>
      <c r="N856" s="164"/>
      <c r="O856" s="164">
        <f t="shared" ref="O856:X856" si="841">SUMIFS(O$63:O$80,$J$63:$J$80,$G853,$K$63:$K$80,$G856)</f>
        <v>0</v>
      </c>
      <c r="P856" s="164">
        <f t="shared" si="841"/>
        <v>0</v>
      </c>
      <c r="Q856" s="164">
        <f t="shared" si="841"/>
        <v>0</v>
      </c>
      <c r="R856" s="164">
        <f t="shared" si="841"/>
        <v>0</v>
      </c>
      <c r="S856" s="164">
        <f t="shared" si="841"/>
        <v>0</v>
      </c>
      <c r="T856" s="164">
        <f t="shared" si="841"/>
        <v>0</v>
      </c>
      <c r="U856" s="164">
        <f t="shared" si="841"/>
        <v>0</v>
      </c>
      <c r="V856" s="164">
        <f t="shared" si="841"/>
        <v>0</v>
      </c>
      <c r="W856" s="164">
        <f t="shared" si="841"/>
        <v>0</v>
      </c>
      <c r="X856" s="164">
        <f t="shared" si="841"/>
        <v>0</v>
      </c>
      <c r="Y856" s="164">
        <f>SUMIFS(Y$63:Y$80,$J$63:$J$80,$G853,$K$63:$K$80,$G856)</f>
        <v>0</v>
      </c>
      <c r="Z856" s="164">
        <f t="shared" ref="Z856:AM856" si="842">SUMIFS(Z$63:Z$80,$J$63:$J$80,$G853,$K$63:$K$80,$G856)</f>
        <v>0</v>
      </c>
      <c r="AA856" s="164">
        <f t="shared" si="842"/>
        <v>0</v>
      </c>
      <c r="AB856" s="164">
        <f t="shared" si="842"/>
        <v>0</v>
      </c>
      <c r="AC856" s="164">
        <f t="shared" si="842"/>
        <v>0</v>
      </c>
      <c r="AD856" s="164">
        <f t="shared" si="842"/>
        <v>0</v>
      </c>
      <c r="AE856" s="164">
        <f t="shared" si="842"/>
        <v>0</v>
      </c>
      <c r="AF856" s="164">
        <f t="shared" si="842"/>
        <v>0</v>
      </c>
      <c r="AG856" s="164">
        <f t="shared" si="842"/>
        <v>0</v>
      </c>
      <c r="AH856" s="164">
        <f t="shared" si="842"/>
        <v>0</v>
      </c>
      <c r="AI856" s="164">
        <f t="shared" si="842"/>
        <v>0</v>
      </c>
      <c r="AJ856" s="164">
        <f t="shared" si="842"/>
        <v>0</v>
      </c>
      <c r="AK856" s="164">
        <f t="shared" si="842"/>
        <v>0</v>
      </c>
      <c r="AL856" s="164">
        <f t="shared" si="842"/>
        <v>0</v>
      </c>
      <c r="AM856" s="164">
        <f t="shared" si="842"/>
        <v>0</v>
      </c>
    </row>
    <row r="857" spans="1:39">
      <c r="A857" s="100"/>
      <c r="B857" s="100"/>
      <c r="C857" s="100"/>
      <c r="D857" s="179" t="str">
        <f t="shared" si="838"/>
        <v>Car parking</v>
      </c>
      <c r="E857" s="165" t="str">
        <f>H779</f>
        <v>Terminal Domestic - Turbo Prop</v>
      </c>
      <c r="F857" s="165"/>
      <c r="G857" s="165" t="s">
        <v>78</v>
      </c>
      <c r="H857" s="121"/>
      <c r="I857" s="165"/>
      <c r="J857" s="165"/>
      <c r="K857" s="197"/>
      <c r="L857" s="197"/>
      <c r="M857" s="477"/>
      <c r="N857" s="164"/>
      <c r="O857" s="164">
        <f t="shared" ref="O857:X857" si="843">O476+SUMIFS(O$63:O$80,$J$63:$J$80,$G853,$K$63:$K$80,$G857)</f>
        <v>0</v>
      </c>
      <c r="P857" s="164">
        <f t="shared" si="843"/>
        <v>0</v>
      </c>
      <c r="Q857" s="164">
        <f t="shared" si="843"/>
        <v>0</v>
      </c>
      <c r="R857" s="164">
        <f t="shared" si="843"/>
        <v>0</v>
      </c>
      <c r="S857" s="164">
        <f t="shared" si="843"/>
        <v>0</v>
      </c>
      <c r="T857" s="164">
        <f t="shared" si="843"/>
        <v>0</v>
      </c>
      <c r="U857" s="164">
        <f t="shared" si="843"/>
        <v>0</v>
      </c>
      <c r="V857" s="164">
        <f t="shared" si="843"/>
        <v>0</v>
      </c>
      <c r="W857" s="164">
        <f t="shared" si="843"/>
        <v>0</v>
      </c>
      <c r="X857" s="164">
        <f t="shared" si="843"/>
        <v>0</v>
      </c>
      <c r="Y857" s="164">
        <f>Y476+SUMIFS(Y$63:Y$80,$J$63:$J$80,$G853,$K$63:$K$80,$G857)</f>
        <v>0</v>
      </c>
      <c r="Z857" s="164">
        <f t="shared" ref="Z857:AM857" si="844">Z476+SUMIFS(Z$63:Z$80,$J$63:$J$80,$G853,$K$63:$K$80,$G857)</f>
        <v>0</v>
      </c>
      <c r="AA857" s="164">
        <f t="shared" si="844"/>
        <v>0</v>
      </c>
      <c r="AB857" s="164">
        <f t="shared" si="844"/>
        <v>0</v>
      </c>
      <c r="AC857" s="164">
        <f t="shared" si="844"/>
        <v>0</v>
      </c>
      <c r="AD857" s="164">
        <f t="shared" si="844"/>
        <v>0</v>
      </c>
      <c r="AE857" s="164">
        <f t="shared" si="844"/>
        <v>0</v>
      </c>
      <c r="AF857" s="164">
        <f t="shared" si="844"/>
        <v>0</v>
      </c>
      <c r="AG857" s="164">
        <f t="shared" si="844"/>
        <v>0</v>
      </c>
      <c r="AH857" s="164">
        <f t="shared" si="844"/>
        <v>0</v>
      </c>
      <c r="AI857" s="164">
        <f t="shared" si="844"/>
        <v>0</v>
      </c>
      <c r="AJ857" s="164">
        <f t="shared" si="844"/>
        <v>0</v>
      </c>
      <c r="AK857" s="164">
        <f t="shared" si="844"/>
        <v>0</v>
      </c>
      <c r="AL857" s="164">
        <f t="shared" si="844"/>
        <v>0</v>
      </c>
      <c r="AM857" s="164">
        <f t="shared" si="844"/>
        <v>0</v>
      </c>
    </row>
    <row r="858" spans="1:39">
      <c r="A858" s="100"/>
      <c r="B858" s="100"/>
      <c r="C858" s="100"/>
      <c r="D858" s="179" t="str">
        <f t="shared" si="838"/>
        <v>Car parking</v>
      </c>
      <c r="E858" s="165" t="str">
        <f>H779</f>
        <v>Terminal Domestic - Turbo Prop</v>
      </c>
      <c r="F858" s="165"/>
      <c r="G858" s="165" t="s">
        <v>88</v>
      </c>
      <c r="H858" s="121"/>
      <c r="I858" s="165"/>
      <c r="J858" s="165"/>
      <c r="K858" s="197"/>
      <c r="L858" s="197"/>
      <c r="M858" s="477"/>
      <c r="N858" s="230"/>
      <c r="O858" s="230">
        <f>N860*'Volume &amp; CPI forecast'!O$13</f>
        <v>0</v>
      </c>
      <c r="P858" s="230">
        <f>O860*'Volume &amp; CPI forecast'!P$13</f>
        <v>0</v>
      </c>
      <c r="Q858" s="230">
        <f>P860*'Volume &amp; CPI forecast'!Q$13</f>
        <v>0</v>
      </c>
      <c r="R858" s="230">
        <f>Q860*'Volume &amp; CPI forecast'!R$13</f>
        <v>0</v>
      </c>
      <c r="S858" s="230">
        <f>R860*'Volume &amp; CPI forecast'!S$13</f>
        <v>0</v>
      </c>
      <c r="T858" s="230">
        <f>S860*'Volume &amp; CPI forecast'!T$13</f>
        <v>0</v>
      </c>
      <c r="U858" s="230">
        <f>T860*'Volume &amp; CPI forecast'!U$13</f>
        <v>0</v>
      </c>
      <c r="V858" s="230">
        <f>U860*'Volume &amp; CPI forecast'!V$13</f>
        <v>0</v>
      </c>
      <c r="W858" s="230">
        <f>V860*'Volume &amp; CPI forecast'!W$13</f>
        <v>0</v>
      </c>
      <c r="X858" s="230">
        <f>W860*'Volume &amp; CPI forecast'!X$13</f>
        <v>0</v>
      </c>
      <c r="Y858" s="230">
        <f>X860*'Volume &amp; CPI forecast'!Y$13</f>
        <v>0</v>
      </c>
      <c r="Z858" s="230">
        <f>Y860*'Volume &amp; CPI forecast'!Z$13</f>
        <v>0</v>
      </c>
      <c r="AA858" s="230">
        <f>Z860*'Volume &amp; CPI forecast'!AA$13</f>
        <v>0</v>
      </c>
      <c r="AB858" s="230">
        <f>AA860*'Volume &amp; CPI forecast'!AB$13</f>
        <v>0</v>
      </c>
      <c r="AC858" s="230">
        <f>AB860*'Volume &amp; CPI forecast'!AC$13</f>
        <v>0</v>
      </c>
      <c r="AD858" s="230">
        <f>AC860*'Volume &amp; CPI forecast'!AD$13</f>
        <v>0</v>
      </c>
      <c r="AE858" s="230">
        <f>AD860*'Volume &amp; CPI forecast'!AE$13</f>
        <v>0</v>
      </c>
      <c r="AF858" s="230">
        <f>AE860*'Volume &amp; CPI forecast'!AF$13</f>
        <v>0</v>
      </c>
      <c r="AG858" s="230">
        <f>AF860*'Volume &amp; CPI forecast'!AG$13</f>
        <v>0</v>
      </c>
      <c r="AH858" s="230">
        <f>AG860*'Volume &amp; CPI forecast'!AH$13</f>
        <v>0</v>
      </c>
      <c r="AI858" s="230">
        <f>AH860*'Volume &amp; CPI forecast'!AI$13</f>
        <v>0</v>
      </c>
      <c r="AJ858" s="230">
        <f>AI860*'Volume &amp; CPI forecast'!AJ$13</f>
        <v>0</v>
      </c>
      <c r="AK858" s="230">
        <f>AJ860*'Volume &amp; CPI forecast'!AK$13</f>
        <v>0</v>
      </c>
      <c r="AL858" s="230">
        <f>AK860*'Volume &amp; CPI forecast'!AL$13</f>
        <v>0</v>
      </c>
      <c r="AM858" s="230">
        <f>AL860*'Volume &amp; CPI forecast'!AM$13</f>
        <v>0</v>
      </c>
    </row>
    <row r="859" spans="1:39">
      <c r="A859" s="100"/>
      <c r="B859" s="100"/>
      <c r="C859" s="100"/>
      <c r="D859" s="179" t="str">
        <f t="shared" si="838"/>
        <v>Car parking</v>
      </c>
      <c r="E859" s="165" t="str">
        <f>H779</f>
        <v>Terminal Domestic - Turbo Prop</v>
      </c>
      <c r="F859" s="165"/>
      <c r="G859" s="165" t="s">
        <v>87</v>
      </c>
      <c r="H859" s="121"/>
      <c r="I859" s="165"/>
      <c r="J859" s="165"/>
      <c r="K859" s="197"/>
      <c r="L859" s="197"/>
      <c r="M859" s="477"/>
      <c r="N859" s="164"/>
      <c r="O859" s="164">
        <f t="shared" ref="O859:X859" si="845">IF(N855&gt;0,N857/AVERAGE(N855,N860)*O858,0)</f>
        <v>0</v>
      </c>
      <c r="P859" s="164">
        <f t="shared" si="845"/>
        <v>0</v>
      </c>
      <c r="Q859" s="164">
        <f t="shared" si="845"/>
        <v>0</v>
      </c>
      <c r="R859" s="164">
        <f t="shared" si="845"/>
        <v>0</v>
      </c>
      <c r="S859" s="164">
        <f t="shared" si="845"/>
        <v>0</v>
      </c>
      <c r="T859" s="164">
        <f t="shared" si="845"/>
        <v>0</v>
      </c>
      <c r="U859" s="164">
        <f t="shared" si="845"/>
        <v>0</v>
      </c>
      <c r="V859" s="164">
        <f t="shared" si="845"/>
        <v>0</v>
      </c>
      <c r="W859" s="164">
        <f t="shared" si="845"/>
        <v>0</v>
      </c>
      <c r="X859" s="164">
        <f t="shared" si="845"/>
        <v>0</v>
      </c>
      <c r="Y859" s="164">
        <f t="shared" ref="Y859:AM859" si="846">IF(X855&gt;0,X857/AVERAGE(X855,X860)*Y858,0)</f>
        <v>0</v>
      </c>
      <c r="Z859" s="164">
        <f t="shared" si="846"/>
        <v>0</v>
      </c>
      <c r="AA859" s="164">
        <f t="shared" si="846"/>
        <v>0</v>
      </c>
      <c r="AB859" s="164">
        <f t="shared" si="846"/>
        <v>0</v>
      </c>
      <c r="AC859" s="164">
        <f t="shared" si="846"/>
        <v>0</v>
      </c>
      <c r="AD859" s="164">
        <f t="shared" si="846"/>
        <v>0</v>
      </c>
      <c r="AE859" s="164">
        <f t="shared" si="846"/>
        <v>0</v>
      </c>
      <c r="AF859" s="164">
        <f t="shared" si="846"/>
        <v>0</v>
      </c>
      <c r="AG859" s="164">
        <f t="shared" si="846"/>
        <v>0</v>
      </c>
      <c r="AH859" s="164">
        <f t="shared" si="846"/>
        <v>0</v>
      </c>
      <c r="AI859" s="164">
        <f t="shared" si="846"/>
        <v>0</v>
      </c>
      <c r="AJ859" s="164">
        <f t="shared" si="846"/>
        <v>0</v>
      </c>
      <c r="AK859" s="164">
        <f t="shared" si="846"/>
        <v>0</v>
      </c>
      <c r="AL859" s="164">
        <f t="shared" si="846"/>
        <v>0</v>
      </c>
      <c r="AM859" s="164">
        <f t="shared" si="846"/>
        <v>0</v>
      </c>
    </row>
    <row r="860" spans="1:39">
      <c r="A860" s="100"/>
      <c r="B860" s="100"/>
      <c r="C860" s="100"/>
      <c r="D860" s="179" t="str">
        <f t="shared" si="838"/>
        <v>Car parking</v>
      </c>
      <c r="E860" s="165" t="str">
        <f>H779</f>
        <v>Terminal Domestic - Turbo Prop</v>
      </c>
      <c r="F860" s="165"/>
      <c r="G860" s="200" t="s">
        <v>76</v>
      </c>
      <c r="H860" s="201"/>
      <c r="I860" s="200"/>
      <c r="J860" s="200"/>
      <c r="K860" s="199">
        <f>K478</f>
        <v>0</v>
      </c>
      <c r="L860" s="199">
        <f>L478</f>
        <v>0</v>
      </c>
      <c r="M860" s="527">
        <f>M478</f>
        <v>0</v>
      </c>
      <c r="N860" s="198">
        <f>N478</f>
        <v>0</v>
      </c>
      <c r="O860" s="198">
        <f t="shared" ref="O860:AM860" si="847">SUM(O855:O856,O858)-SUM(O857,O859)</f>
        <v>0</v>
      </c>
      <c r="P860" s="198">
        <f t="shared" si="847"/>
        <v>0</v>
      </c>
      <c r="Q860" s="198">
        <f t="shared" si="847"/>
        <v>0</v>
      </c>
      <c r="R860" s="198">
        <f t="shared" si="847"/>
        <v>0</v>
      </c>
      <c r="S860" s="198">
        <f t="shared" si="847"/>
        <v>0</v>
      </c>
      <c r="T860" s="198">
        <f t="shared" si="847"/>
        <v>0</v>
      </c>
      <c r="U860" s="198">
        <f t="shared" si="847"/>
        <v>0</v>
      </c>
      <c r="V860" s="198">
        <f t="shared" si="847"/>
        <v>0</v>
      </c>
      <c r="W860" s="198">
        <f t="shared" si="847"/>
        <v>0</v>
      </c>
      <c r="X860" s="198">
        <f t="shared" si="847"/>
        <v>0</v>
      </c>
      <c r="Y860" s="198">
        <f t="shared" si="847"/>
        <v>0</v>
      </c>
      <c r="Z860" s="198">
        <f t="shared" si="847"/>
        <v>0</v>
      </c>
      <c r="AA860" s="198">
        <f t="shared" si="847"/>
        <v>0</v>
      </c>
      <c r="AB860" s="198">
        <f t="shared" si="847"/>
        <v>0</v>
      </c>
      <c r="AC860" s="198">
        <f t="shared" si="847"/>
        <v>0</v>
      </c>
      <c r="AD860" s="198">
        <f t="shared" si="847"/>
        <v>0</v>
      </c>
      <c r="AE860" s="198">
        <f t="shared" si="847"/>
        <v>0</v>
      </c>
      <c r="AF860" s="198">
        <f t="shared" si="847"/>
        <v>0</v>
      </c>
      <c r="AG860" s="198">
        <f t="shared" si="847"/>
        <v>0</v>
      </c>
      <c r="AH860" s="198">
        <f t="shared" si="847"/>
        <v>0</v>
      </c>
      <c r="AI860" s="198">
        <f t="shared" si="847"/>
        <v>0</v>
      </c>
      <c r="AJ860" s="198">
        <f t="shared" si="847"/>
        <v>0</v>
      </c>
      <c r="AK860" s="198">
        <f t="shared" si="847"/>
        <v>0</v>
      </c>
      <c r="AL860" s="198">
        <f t="shared" si="847"/>
        <v>0</v>
      </c>
      <c r="AM860" s="198">
        <f t="shared" si="847"/>
        <v>0</v>
      </c>
    </row>
    <row r="861" spans="1:39">
      <c r="A861" s="100"/>
      <c r="B861" s="100"/>
      <c r="C861" s="100"/>
      <c r="D861" s="179"/>
      <c r="E861" s="165"/>
      <c r="F861" s="165"/>
      <c r="G861" s="165"/>
      <c r="H861" s="121"/>
      <c r="I861" s="165"/>
      <c r="J861" s="165"/>
      <c r="K861" s="197"/>
      <c r="L861" s="197"/>
      <c r="M861" s="477"/>
      <c r="N861" s="164"/>
      <c r="O861" s="164"/>
      <c r="P861" s="164"/>
      <c r="Q861" s="164"/>
      <c r="R861" s="164"/>
      <c r="S861" s="164"/>
      <c r="T861" s="164"/>
      <c r="U861" s="164"/>
      <c r="V861" s="164"/>
      <c r="W861" s="164"/>
      <c r="X861" s="164"/>
      <c r="Y861" s="164"/>
      <c r="Z861" s="164"/>
      <c r="AA861" s="164"/>
      <c r="AB861" s="164"/>
      <c r="AC861" s="164"/>
      <c r="AD861" s="164"/>
      <c r="AE861" s="164"/>
      <c r="AF861" s="164"/>
      <c r="AG861" s="164"/>
      <c r="AH861" s="164"/>
      <c r="AI861" s="164"/>
      <c r="AJ861" s="164"/>
      <c r="AK861" s="164"/>
      <c r="AL861" s="164"/>
      <c r="AM861" s="164"/>
    </row>
    <row r="862" spans="1:39">
      <c r="A862" s="100"/>
      <c r="B862" s="100"/>
      <c r="C862" s="100"/>
      <c r="D862" s="179"/>
      <c r="E862" s="165"/>
      <c r="F862" s="165"/>
      <c r="G862" s="206" t="s">
        <v>29</v>
      </c>
      <c r="H862" s="121"/>
      <c r="I862" s="165"/>
      <c r="J862" s="165"/>
      <c r="K862" s="204"/>
      <c r="L862" s="197"/>
      <c r="M862" s="477"/>
      <c r="N862" s="164"/>
      <c r="O862" s="164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  <c r="AA862" s="165"/>
      <c r="AB862" s="165"/>
      <c r="AC862" s="165"/>
      <c r="AD862" s="165"/>
      <c r="AE862" s="165"/>
      <c r="AF862" s="165"/>
      <c r="AG862" s="165"/>
      <c r="AH862" s="165"/>
      <c r="AI862" s="165"/>
      <c r="AJ862" s="165"/>
      <c r="AK862" s="165"/>
      <c r="AL862" s="165"/>
      <c r="AM862" s="165"/>
    </row>
    <row r="863" spans="1:39">
      <c r="A863" s="100"/>
      <c r="B863" s="100"/>
      <c r="C863" s="100"/>
      <c r="D863" s="179"/>
      <c r="E863" s="165"/>
      <c r="F863" s="165"/>
      <c r="G863" s="205"/>
      <c r="H863" s="121"/>
      <c r="I863" s="165"/>
      <c r="J863" s="165"/>
      <c r="K863" s="204"/>
      <c r="L863" s="197"/>
      <c r="M863" s="477"/>
      <c r="N863" s="164"/>
      <c r="O863" s="164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  <c r="AA863" s="165"/>
      <c r="AB863" s="165"/>
      <c r="AC863" s="165"/>
      <c r="AD863" s="165"/>
      <c r="AE863" s="165"/>
      <c r="AF863" s="165"/>
      <c r="AG863" s="165"/>
      <c r="AH863" s="165"/>
      <c r="AI863" s="165"/>
      <c r="AJ863" s="165"/>
      <c r="AK863" s="165"/>
      <c r="AL863" s="165"/>
      <c r="AM863" s="165"/>
    </row>
    <row r="864" spans="1:39">
      <c r="A864" s="100"/>
      <c r="B864" s="100"/>
      <c r="C864" s="100"/>
      <c r="D864" s="179" t="str">
        <f t="shared" ref="D864:D869" si="848">$G$581</f>
        <v>Software</v>
      </c>
      <c r="E864" s="165" t="str">
        <f>H779</f>
        <v>Terminal Domestic - Turbo Prop</v>
      </c>
      <c r="F864" s="165"/>
      <c r="G864" s="165" t="s">
        <v>80</v>
      </c>
      <c r="H864" s="121"/>
      <c r="I864" s="165"/>
      <c r="J864" s="165"/>
      <c r="K864" s="530">
        <f>K869</f>
        <v>0</v>
      </c>
      <c r="L864" s="530">
        <f>L869</f>
        <v>0</v>
      </c>
      <c r="M864" s="531"/>
      <c r="N864" s="164"/>
      <c r="O864" s="164">
        <f t="shared" ref="O864:Y864" si="849">N869</f>
        <v>101.75113811440768</v>
      </c>
      <c r="P864" s="164">
        <f t="shared" si="849"/>
        <v>76.313353585805757</v>
      </c>
      <c r="Q864" s="164">
        <f t="shared" si="849"/>
        <v>50.875569057203833</v>
      </c>
      <c r="R864" s="164">
        <f t="shared" si="849"/>
        <v>25.437784528601913</v>
      </c>
      <c r="S864" s="164">
        <f t="shared" si="849"/>
        <v>0</v>
      </c>
      <c r="T864" s="164">
        <f t="shared" si="849"/>
        <v>0</v>
      </c>
      <c r="U864" s="164">
        <f t="shared" si="849"/>
        <v>0</v>
      </c>
      <c r="V864" s="164">
        <f t="shared" si="849"/>
        <v>0</v>
      </c>
      <c r="W864" s="164">
        <f t="shared" si="849"/>
        <v>0</v>
      </c>
      <c r="X864" s="164">
        <f t="shared" si="849"/>
        <v>0</v>
      </c>
      <c r="Y864" s="164">
        <f t="shared" si="849"/>
        <v>0</v>
      </c>
      <c r="Z864" s="164">
        <f t="shared" ref="Z864:AM864" si="850">Y869</f>
        <v>0</v>
      </c>
      <c r="AA864" s="164">
        <f t="shared" si="850"/>
        <v>0</v>
      </c>
      <c r="AB864" s="164">
        <f t="shared" si="850"/>
        <v>0</v>
      </c>
      <c r="AC864" s="164">
        <f t="shared" si="850"/>
        <v>0</v>
      </c>
      <c r="AD864" s="164">
        <f t="shared" si="850"/>
        <v>0</v>
      </c>
      <c r="AE864" s="164">
        <f t="shared" si="850"/>
        <v>0</v>
      </c>
      <c r="AF864" s="164">
        <f t="shared" si="850"/>
        <v>0</v>
      </c>
      <c r="AG864" s="164">
        <f t="shared" si="850"/>
        <v>0</v>
      </c>
      <c r="AH864" s="164">
        <f t="shared" si="850"/>
        <v>0</v>
      </c>
      <c r="AI864" s="164">
        <f t="shared" si="850"/>
        <v>0</v>
      </c>
      <c r="AJ864" s="164">
        <f t="shared" si="850"/>
        <v>0</v>
      </c>
      <c r="AK864" s="164">
        <f t="shared" si="850"/>
        <v>0</v>
      </c>
      <c r="AL864" s="164">
        <f t="shared" si="850"/>
        <v>0</v>
      </c>
      <c r="AM864" s="164">
        <f t="shared" si="850"/>
        <v>0</v>
      </c>
    </row>
    <row r="865" spans="1:53">
      <c r="A865" s="100"/>
      <c r="B865" s="100"/>
      <c r="C865" s="100"/>
      <c r="D865" s="179" t="str">
        <f t="shared" si="848"/>
        <v>Software</v>
      </c>
      <c r="E865" s="165" t="str">
        <f>H779</f>
        <v>Terminal Domestic - Turbo Prop</v>
      </c>
      <c r="F865" s="165"/>
      <c r="G865" s="165" t="s">
        <v>83</v>
      </c>
      <c r="H865" s="121"/>
      <c r="I865" s="165"/>
      <c r="J865" s="165"/>
      <c r="K865" s="532"/>
      <c r="L865" s="532"/>
      <c r="M865" s="533"/>
      <c r="N865" s="164"/>
      <c r="O865" s="164">
        <f t="shared" ref="O865:X865" si="851">SUMIFS(O$63:O$80,$J$63:$J$80,$G862,$K$63:$K$80,$G865)</f>
        <v>0</v>
      </c>
      <c r="P865" s="164">
        <f t="shared" si="851"/>
        <v>0</v>
      </c>
      <c r="Q865" s="164">
        <f t="shared" si="851"/>
        <v>0</v>
      </c>
      <c r="R865" s="164">
        <f t="shared" si="851"/>
        <v>0</v>
      </c>
      <c r="S865" s="164">
        <f t="shared" si="851"/>
        <v>0</v>
      </c>
      <c r="T865" s="164">
        <f t="shared" si="851"/>
        <v>0</v>
      </c>
      <c r="U865" s="164">
        <f t="shared" si="851"/>
        <v>0</v>
      </c>
      <c r="V865" s="164">
        <f t="shared" si="851"/>
        <v>0</v>
      </c>
      <c r="W865" s="164">
        <f t="shared" si="851"/>
        <v>0</v>
      </c>
      <c r="X865" s="164">
        <f t="shared" si="851"/>
        <v>0</v>
      </c>
      <c r="Y865" s="164">
        <f>SUMIFS(Y$63:Y$80,$J$63:$J$80,$G862,$K$63:$K$80,$G865)</f>
        <v>0</v>
      </c>
      <c r="Z865" s="164">
        <f t="shared" ref="Z865:AM865" si="852">SUMIFS(Z$63:Z$80,$J$63:$J$80,$G862,$K$63:$K$80,$G865)</f>
        <v>0</v>
      </c>
      <c r="AA865" s="164">
        <f t="shared" si="852"/>
        <v>0</v>
      </c>
      <c r="AB865" s="164">
        <f t="shared" si="852"/>
        <v>0</v>
      </c>
      <c r="AC865" s="164">
        <f t="shared" si="852"/>
        <v>0</v>
      </c>
      <c r="AD865" s="164">
        <f t="shared" si="852"/>
        <v>0</v>
      </c>
      <c r="AE865" s="164">
        <f t="shared" si="852"/>
        <v>0</v>
      </c>
      <c r="AF865" s="164">
        <f t="shared" si="852"/>
        <v>0</v>
      </c>
      <c r="AG865" s="164">
        <f t="shared" si="852"/>
        <v>0</v>
      </c>
      <c r="AH865" s="164">
        <f t="shared" si="852"/>
        <v>0</v>
      </c>
      <c r="AI865" s="164">
        <f t="shared" si="852"/>
        <v>0</v>
      </c>
      <c r="AJ865" s="164">
        <f t="shared" si="852"/>
        <v>0</v>
      </c>
      <c r="AK865" s="164">
        <f t="shared" si="852"/>
        <v>0</v>
      </c>
      <c r="AL865" s="164">
        <f t="shared" si="852"/>
        <v>0</v>
      </c>
      <c r="AM865" s="164">
        <f t="shared" si="852"/>
        <v>0</v>
      </c>
    </row>
    <row r="866" spans="1:53">
      <c r="A866" s="100"/>
      <c r="B866" s="100"/>
      <c r="C866" s="100"/>
      <c r="D866" s="179" t="str">
        <f t="shared" si="848"/>
        <v>Software</v>
      </c>
      <c r="E866" s="165" t="str">
        <f>H779</f>
        <v>Terminal Domestic - Turbo Prop</v>
      </c>
      <c r="F866" s="165"/>
      <c r="G866" s="165" t="s">
        <v>78</v>
      </c>
      <c r="H866" s="121"/>
      <c r="I866" s="165"/>
      <c r="J866" s="165"/>
      <c r="K866" s="197"/>
      <c r="L866" s="197"/>
      <c r="M866" s="477"/>
      <c r="N866" s="164"/>
      <c r="O866" s="164">
        <f t="shared" ref="O866:X866" si="853">O485+SUMIFS(O$63:O$80,$J$63:$J$80,$G862,$K$63:$K$80,$G866)</f>
        <v>25.43778452860192</v>
      </c>
      <c r="P866" s="164">
        <f t="shared" si="853"/>
        <v>25.43778452860192</v>
      </c>
      <c r="Q866" s="164">
        <f t="shared" si="853"/>
        <v>25.43778452860192</v>
      </c>
      <c r="R866" s="164">
        <f t="shared" si="853"/>
        <v>25.43778452860192</v>
      </c>
      <c r="S866" s="164">
        <f t="shared" si="853"/>
        <v>0</v>
      </c>
      <c r="T866" s="164">
        <f t="shared" si="853"/>
        <v>0</v>
      </c>
      <c r="U866" s="164">
        <f t="shared" si="853"/>
        <v>0</v>
      </c>
      <c r="V866" s="164">
        <f t="shared" si="853"/>
        <v>0</v>
      </c>
      <c r="W866" s="164">
        <f t="shared" si="853"/>
        <v>0</v>
      </c>
      <c r="X866" s="164">
        <f t="shared" si="853"/>
        <v>0</v>
      </c>
      <c r="Y866" s="164">
        <f>Y485+SUMIFS(Y$63:Y$80,$J$63:$J$80,$G862,$K$63:$K$80,$G866)</f>
        <v>0</v>
      </c>
      <c r="Z866" s="164">
        <f t="shared" ref="Z866:AM866" si="854">Z485+SUMIFS(Z$63:Z$80,$J$63:$J$80,$G862,$K$63:$K$80,$G866)</f>
        <v>0</v>
      </c>
      <c r="AA866" s="164">
        <f t="shared" si="854"/>
        <v>0</v>
      </c>
      <c r="AB866" s="164">
        <f t="shared" si="854"/>
        <v>0</v>
      </c>
      <c r="AC866" s="164">
        <f t="shared" si="854"/>
        <v>0</v>
      </c>
      <c r="AD866" s="164">
        <f t="shared" si="854"/>
        <v>0</v>
      </c>
      <c r="AE866" s="164">
        <f t="shared" si="854"/>
        <v>0</v>
      </c>
      <c r="AF866" s="164">
        <f t="shared" si="854"/>
        <v>0</v>
      </c>
      <c r="AG866" s="164">
        <f t="shared" si="854"/>
        <v>0</v>
      </c>
      <c r="AH866" s="164">
        <f t="shared" si="854"/>
        <v>0</v>
      </c>
      <c r="AI866" s="164">
        <f t="shared" si="854"/>
        <v>0</v>
      </c>
      <c r="AJ866" s="164">
        <f t="shared" si="854"/>
        <v>0</v>
      </c>
      <c r="AK866" s="164">
        <f t="shared" si="854"/>
        <v>0</v>
      </c>
      <c r="AL866" s="164">
        <f t="shared" si="854"/>
        <v>0</v>
      </c>
      <c r="AM866" s="164">
        <f t="shared" si="854"/>
        <v>0</v>
      </c>
    </row>
    <row r="867" spans="1:53">
      <c r="A867" s="100"/>
      <c r="B867" s="100"/>
      <c r="C867" s="100"/>
      <c r="D867" s="179" t="str">
        <f t="shared" si="848"/>
        <v>Software</v>
      </c>
      <c r="E867" s="165" t="str">
        <f>H779</f>
        <v>Terminal Domestic - Turbo Prop</v>
      </c>
      <c r="F867" s="165"/>
      <c r="G867" s="165" t="s">
        <v>88</v>
      </c>
      <c r="H867" s="121"/>
      <c r="I867" s="165"/>
      <c r="J867" s="165"/>
      <c r="K867" s="197"/>
      <c r="L867" s="197"/>
      <c r="M867" s="477"/>
      <c r="N867" s="230"/>
      <c r="O867" s="230"/>
      <c r="P867" s="230"/>
      <c r="Q867" s="230"/>
      <c r="R867" s="230"/>
      <c r="S867" s="230"/>
      <c r="T867" s="230"/>
      <c r="U867" s="230"/>
      <c r="V867" s="230"/>
      <c r="W867" s="230"/>
      <c r="X867" s="230"/>
      <c r="Y867" s="230"/>
      <c r="Z867" s="230"/>
      <c r="AA867" s="230"/>
      <c r="AB867" s="230"/>
      <c r="AC867" s="230"/>
      <c r="AD867" s="230"/>
      <c r="AE867" s="230"/>
      <c r="AF867" s="230"/>
      <c r="AG867" s="230"/>
      <c r="AH867" s="230"/>
      <c r="AI867" s="230"/>
      <c r="AJ867" s="230"/>
      <c r="AK867" s="230"/>
      <c r="AL867" s="230"/>
      <c r="AM867" s="230"/>
    </row>
    <row r="868" spans="1:53">
      <c r="A868" s="100"/>
      <c r="B868" s="100"/>
      <c r="C868" s="100"/>
      <c r="D868" s="179" t="str">
        <f t="shared" si="848"/>
        <v>Software</v>
      </c>
      <c r="E868" s="165" t="str">
        <f>H779</f>
        <v>Terminal Domestic - Turbo Prop</v>
      </c>
      <c r="F868" s="165"/>
      <c r="G868" s="165" t="s">
        <v>87</v>
      </c>
      <c r="H868" s="121"/>
      <c r="I868" s="165"/>
      <c r="J868" s="165"/>
      <c r="K868" s="197"/>
      <c r="L868" s="197"/>
      <c r="M868" s="477"/>
      <c r="N868" s="164"/>
      <c r="O868" s="164">
        <f t="shared" ref="O868:X868" si="855">IF(N864&gt;0,N866/AVERAGE(N864,N869)*O867,0)</f>
        <v>0</v>
      </c>
      <c r="P868" s="164">
        <f t="shared" si="855"/>
        <v>0</v>
      </c>
      <c r="Q868" s="164">
        <f t="shared" si="855"/>
        <v>0</v>
      </c>
      <c r="R868" s="164">
        <f t="shared" si="855"/>
        <v>0</v>
      </c>
      <c r="S868" s="164">
        <f t="shared" si="855"/>
        <v>0</v>
      </c>
      <c r="T868" s="164">
        <f t="shared" si="855"/>
        <v>0</v>
      </c>
      <c r="U868" s="164">
        <f t="shared" si="855"/>
        <v>0</v>
      </c>
      <c r="V868" s="164">
        <f t="shared" si="855"/>
        <v>0</v>
      </c>
      <c r="W868" s="164">
        <f t="shared" si="855"/>
        <v>0</v>
      </c>
      <c r="X868" s="164">
        <f t="shared" si="855"/>
        <v>0</v>
      </c>
      <c r="Y868" s="164">
        <f t="shared" ref="Y868:AM868" si="856">IF(X864&gt;0,X866/AVERAGE(X864,X869)*Y867,0)</f>
        <v>0</v>
      </c>
      <c r="Z868" s="164">
        <f t="shared" si="856"/>
        <v>0</v>
      </c>
      <c r="AA868" s="164">
        <f t="shared" si="856"/>
        <v>0</v>
      </c>
      <c r="AB868" s="164">
        <f t="shared" si="856"/>
        <v>0</v>
      </c>
      <c r="AC868" s="164">
        <f t="shared" si="856"/>
        <v>0</v>
      </c>
      <c r="AD868" s="164">
        <f t="shared" si="856"/>
        <v>0</v>
      </c>
      <c r="AE868" s="164">
        <f t="shared" si="856"/>
        <v>0</v>
      </c>
      <c r="AF868" s="164">
        <f t="shared" si="856"/>
        <v>0</v>
      </c>
      <c r="AG868" s="164">
        <f t="shared" si="856"/>
        <v>0</v>
      </c>
      <c r="AH868" s="164">
        <f t="shared" si="856"/>
        <v>0</v>
      </c>
      <c r="AI868" s="164">
        <f t="shared" si="856"/>
        <v>0</v>
      </c>
      <c r="AJ868" s="164">
        <f t="shared" si="856"/>
        <v>0</v>
      </c>
      <c r="AK868" s="164">
        <f t="shared" si="856"/>
        <v>0</v>
      </c>
      <c r="AL868" s="164">
        <f t="shared" si="856"/>
        <v>0</v>
      </c>
      <c r="AM868" s="164">
        <f t="shared" si="856"/>
        <v>0</v>
      </c>
    </row>
    <row r="869" spans="1:53">
      <c r="A869" s="100"/>
      <c r="B869" s="100"/>
      <c r="C869" s="100"/>
      <c r="D869" s="179" t="str">
        <f t="shared" si="848"/>
        <v>Software</v>
      </c>
      <c r="E869" s="165" t="str">
        <f>H779</f>
        <v>Terminal Domestic - Turbo Prop</v>
      </c>
      <c r="F869" s="165"/>
      <c r="G869" s="200" t="s">
        <v>76</v>
      </c>
      <c r="H869" s="201"/>
      <c r="I869" s="200"/>
      <c r="J869" s="200"/>
      <c r="K869" s="534">
        <f>K487</f>
        <v>0</v>
      </c>
      <c r="L869" s="534">
        <f>L487</f>
        <v>0</v>
      </c>
      <c r="M869" s="534">
        <f>M487</f>
        <v>0</v>
      </c>
      <c r="N869" s="198">
        <f>N487</f>
        <v>101.75113811440768</v>
      </c>
      <c r="O869" s="198">
        <f t="shared" ref="O869:AM869" si="857">SUM(O864:O865,O867)-SUM(O866,O868)</f>
        <v>76.313353585805757</v>
      </c>
      <c r="P869" s="198">
        <f t="shared" si="857"/>
        <v>50.875569057203833</v>
      </c>
      <c r="Q869" s="198">
        <f t="shared" si="857"/>
        <v>25.437784528601913</v>
      </c>
      <c r="R869" s="198">
        <f t="shared" si="857"/>
        <v>0</v>
      </c>
      <c r="S869" s="198">
        <f t="shared" si="857"/>
        <v>0</v>
      </c>
      <c r="T869" s="198">
        <f t="shared" si="857"/>
        <v>0</v>
      </c>
      <c r="U869" s="198">
        <f t="shared" si="857"/>
        <v>0</v>
      </c>
      <c r="V869" s="198">
        <f t="shared" si="857"/>
        <v>0</v>
      </c>
      <c r="W869" s="198">
        <f t="shared" si="857"/>
        <v>0</v>
      </c>
      <c r="X869" s="198">
        <f t="shared" si="857"/>
        <v>0</v>
      </c>
      <c r="Y869" s="198">
        <f t="shared" si="857"/>
        <v>0</v>
      </c>
      <c r="Z869" s="198">
        <f t="shared" si="857"/>
        <v>0</v>
      </c>
      <c r="AA869" s="198">
        <f t="shared" si="857"/>
        <v>0</v>
      </c>
      <c r="AB869" s="198">
        <f t="shared" si="857"/>
        <v>0</v>
      </c>
      <c r="AC869" s="198">
        <f t="shared" si="857"/>
        <v>0</v>
      </c>
      <c r="AD869" s="198">
        <f t="shared" si="857"/>
        <v>0</v>
      </c>
      <c r="AE869" s="198">
        <f t="shared" si="857"/>
        <v>0</v>
      </c>
      <c r="AF869" s="198">
        <f t="shared" si="857"/>
        <v>0</v>
      </c>
      <c r="AG869" s="198">
        <f t="shared" si="857"/>
        <v>0</v>
      </c>
      <c r="AH869" s="198">
        <f t="shared" si="857"/>
        <v>0</v>
      </c>
      <c r="AI869" s="198">
        <f t="shared" si="857"/>
        <v>0</v>
      </c>
      <c r="AJ869" s="198">
        <f t="shared" si="857"/>
        <v>0</v>
      </c>
      <c r="AK869" s="198">
        <f t="shared" si="857"/>
        <v>0</v>
      </c>
      <c r="AL869" s="198">
        <f t="shared" si="857"/>
        <v>0</v>
      </c>
      <c r="AM869" s="198">
        <f t="shared" si="857"/>
        <v>0</v>
      </c>
    </row>
    <row r="870" spans="1:53">
      <c r="A870" s="100"/>
      <c r="B870" s="100"/>
      <c r="C870" s="100"/>
      <c r="D870" s="179"/>
      <c r="E870" s="165"/>
      <c r="F870" s="165"/>
      <c r="G870" s="165"/>
      <c r="H870" s="121"/>
      <c r="I870" s="165"/>
      <c r="J870" s="165"/>
      <c r="K870" s="164"/>
      <c r="L870" s="164"/>
      <c r="M870" s="227"/>
      <c r="N870" s="164"/>
      <c r="O870" s="164"/>
      <c r="P870" s="164"/>
      <c r="Q870" s="164"/>
      <c r="R870" s="164"/>
      <c r="S870" s="164"/>
    </row>
    <row r="871" spans="1:53">
      <c r="A871" s="100"/>
      <c r="B871" s="100"/>
      <c r="C871" s="100"/>
      <c r="D871" s="179"/>
      <c r="E871" s="165"/>
      <c r="F871" s="165"/>
      <c r="G871" s="165"/>
      <c r="H871" s="121"/>
      <c r="I871" s="165"/>
      <c r="J871" s="165"/>
      <c r="K871" s="164"/>
      <c r="L871" s="164"/>
      <c r="M871" s="227"/>
      <c r="N871" s="164"/>
      <c r="O871" s="164"/>
      <c r="P871" s="164"/>
      <c r="Q871" s="164"/>
      <c r="R871" s="164"/>
      <c r="S871" s="164"/>
    </row>
    <row r="873" spans="1:53">
      <c r="A873" s="100"/>
      <c r="B873" s="100"/>
      <c r="C873" s="100"/>
      <c r="D873" s="179"/>
      <c r="E873" s="165"/>
      <c r="F873" s="165"/>
      <c r="G873" s="165"/>
      <c r="H873" s="165"/>
      <c r="I873" s="165"/>
      <c r="J873" s="165"/>
      <c r="K873" s="165"/>
      <c r="L873" s="165"/>
      <c r="M873" s="226"/>
      <c r="N873" s="165"/>
      <c r="O873" s="165"/>
      <c r="P873" s="165"/>
      <c r="Q873" s="165"/>
      <c r="R873" s="165"/>
      <c r="S873" s="165"/>
    </row>
    <row r="874" spans="1:53" s="559" customFormat="1">
      <c r="D874" s="560"/>
      <c r="F874" s="559" t="s">
        <v>230</v>
      </c>
      <c r="M874" s="561"/>
      <c r="Y874" s="562"/>
      <c r="Z874" s="562"/>
      <c r="AA874" s="562"/>
      <c r="AB874" s="562"/>
      <c r="AC874" s="562"/>
      <c r="AD874" s="562"/>
      <c r="AE874" s="562"/>
      <c r="AF874" s="562"/>
      <c r="AG874" s="562"/>
      <c r="AH874" s="562"/>
      <c r="AI874" s="562"/>
      <c r="AJ874" s="562"/>
      <c r="AK874" s="562"/>
      <c r="AL874" s="562"/>
      <c r="AM874" s="562"/>
      <c r="AN874" s="562"/>
      <c r="AO874" s="562"/>
      <c r="AP874" s="562"/>
      <c r="AQ874" s="562"/>
      <c r="AR874" s="562"/>
      <c r="AS874" s="562"/>
      <c r="AT874" s="562"/>
      <c r="BA874" s="563"/>
    </row>
    <row r="875" spans="1:53" ht="21">
      <c r="F875" t="s">
        <v>10</v>
      </c>
      <c r="G875" s="223"/>
      <c r="X875" s="557" t="s">
        <v>234</v>
      </c>
    </row>
    <row r="876" spans="1:53">
      <c r="G876" t="s">
        <v>78</v>
      </c>
      <c r="N876" s="391"/>
      <c r="O876" s="391"/>
      <c r="P876" s="391"/>
      <c r="Q876" s="391"/>
      <c r="R876" s="391"/>
      <c r="S876" s="391"/>
      <c r="T876" s="391"/>
      <c r="U876" s="391"/>
      <c r="V876" s="391"/>
      <c r="W876" s="391"/>
      <c r="X876" s="558">
        <f t="shared" ref="X876:X893" si="858">NPV(Term_WACC, Y876:AH876)</f>
        <v>24851947.856868915</v>
      </c>
      <c r="Y876" s="391">
        <f t="shared" ref="Y876:AH878" si="859">SUMIF($G$502:$G$588, $G876, Y$502:Y$588)</f>
        <v>4829991.8142859992</v>
      </c>
      <c r="Z876" s="391">
        <f t="shared" si="859"/>
        <v>4761136.118868229</v>
      </c>
      <c r="AA876" s="391">
        <f t="shared" si="859"/>
        <v>4709332.5734690074</v>
      </c>
      <c r="AB876" s="391">
        <f t="shared" si="859"/>
        <v>4665954.4222299308</v>
      </c>
      <c r="AC876" s="391">
        <f t="shared" si="859"/>
        <v>4596908.6760695605</v>
      </c>
      <c r="AD876" s="391">
        <f t="shared" si="859"/>
        <v>4596908.6760695605</v>
      </c>
      <c r="AE876" s="391">
        <f t="shared" si="859"/>
        <v>4596908.6760695605</v>
      </c>
      <c r="AF876" s="391">
        <f t="shared" si="859"/>
        <v>4596908.6760695605</v>
      </c>
      <c r="AG876" s="391">
        <f t="shared" si="859"/>
        <v>4596908.6760695605</v>
      </c>
      <c r="AH876" s="391">
        <f t="shared" si="859"/>
        <v>4596908.6760695605</v>
      </c>
    </row>
    <row r="877" spans="1:53">
      <c r="G877" t="s">
        <v>231</v>
      </c>
      <c r="N877" s="391"/>
      <c r="O877" s="391"/>
      <c r="P877" s="391"/>
      <c r="Q877" s="391"/>
      <c r="R877" s="391"/>
      <c r="S877" s="391"/>
      <c r="T877" s="391"/>
      <c r="U877" s="391"/>
      <c r="V877" s="391"/>
      <c r="W877" s="391"/>
      <c r="X877" s="558">
        <f t="shared" si="858"/>
        <v>1316569871.7890699</v>
      </c>
      <c r="Y877" s="391">
        <f>SUMIF($G$502:$G$588, $G877, Y$502:Y$588)</f>
        <v>243258048.47681919</v>
      </c>
      <c r="Z877" s="391">
        <f>SUMIF($G$502:$G$588, $G877, Z$502:Z$588)</f>
        <v>244454932.69403207</v>
      </c>
      <c r="AA877" s="391">
        <f>SUMIF($G$502:$G$588, $G877, AA$502:AA$588)</f>
        <v>245737770.95510852</v>
      </c>
      <c r="AB877" s="391">
        <f>SUMIF($G$502:$G$588, $G877, AB$502:AB$588)</f>
        <v>247098853.74083757</v>
      </c>
      <c r="AC877" s="391">
        <f>SUMIF($G$502:$G$588, $G877, AC$502:AC$588)</f>
        <v>248564850.73943242</v>
      </c>
      <c r="AD877" s="391">
        <f t="shared" si="859"/>
        <v>250067690.97841758</v>
      </c>
      <c r="AE877" s="391">
        <f t="shared" si="859"/>
        <v>251608121.53211868</v>
      </c>
      <c r="AF877" s="391">
        <f t="shared" si="859"/>
        <v>253187083.11613488</v>
      </c>
      <c r="AG877" s="391">
        <f t="shared" si="859"/>
        <v>254805539.94738832</v>
      </c>
      <c r="AH877" s="391">
        <f t="shared" si="859"/>
        <v>256464480.40835887</v>
      </c>
    </row>
    <row r="878" spans="1:53">
      <c r="G878" t="s">
        <v>232</v>
      </c>
      <c r="N878" s="391"/>
      <c r="O878" s="391"/>
      <c r="P878" s="391"/>
      <c r="Q878" s="391"/>
      <c r="R878" s="391"/>
      <c r="S878" s="391"/>
      <c r="T878" s="391"/>
      <c r="U878" s="391"/>
      <c r="V878" s="391"/>
      <c r="W878" s="391"/>
      <c r="X878" s="558">
        <f t="shared" si="858"/>
        <v>32714581.334986206</v>
      </c>
      <c r="Y878" s="391">
        <f t="shared" si="859"/>
        <v>6043484.63209185</v>
      </c>
      <c r="Z878" s="391">
        <f t="shared" si="859"/>
        <v>6074346.1041538352</v>
      </c>
      <c r="AA878" s="391">
        <f t="shared" si="859"/>
        <v>6107475.8307170421</v>
      </c>
      <c r="AB878" s="391">
        <f t="shared" si="859"/>
        <v>6141896.760301129</v>
      </c>
      <c r="AC878" s="391">
        <f t="shared" si="859"/>
        <v>6177471.3435209403</v>
      </c>
      <c r="AD878" s="391">
        <f t="shared" si="859"/>
        <v>6214121.2684858106</v>
      </c>
      <c r="AE878" s="391">
        <f t="shared" si="859"/>
        <v>6251692.2744604396</v>
      </c>
      <c r="AF878" s="391">
        <f t="shared" si="859"/>
        <v>6290203.0383029664</v>
      </c>
      <c r="AG878" s="391">
        <f t="shared" si="859"/>
        <v>6329677.0779033732</v>
      </c>
      <c r="AH878" s="391">
        <f t="shared" si="859"/>
        <v>6370138.498684709</v>
      </c>
    </row>
    <row r="879" spans="1:53">
      <c r="X879" s="558"/>
    </row>
    <row r="880" spans="1:53" ht="21">
      <c r="F880" t="s">
        <v>203</v>
      </c>
      <c r="G880" s="223"/>
      <c r="X880" s="558"/>
    </row>
    <row r="881" spans="6:34">
      <c r="G881" t="s">
        <v>78</v>
      </c>
      <c r="N881" s="391"/>
      <c r="O881" s="391"/>
      <c r="P881" s="391"/>
      <c r="Q881" s="391"/>
      <c r="R881" s="391"/>
      <c r="S881" s="391"/>
      <c r="T881" s="391"/>
      <c r="U881" s="391"/>
      <c r="V881" s="391"/>
      <c r="W881" s="391"/>
      <c r="X881" s="558">
        <f t="shared" si="858"/>
        <v>24429694.657929353</v>
      </c>
      <c r="Y881" s="391">
        <f t="shared" ref="Y881:AH883" si="860">SUMIF($G$594:$G$682, $G881, Y$594:Y$682)</f>
        <v>4676557.0095738452</v>
      </c>
      <c r="Z881" s="391">
        <f t="shared" si="860"/>
        <v>4652093.2268396169</v>
      </c>
      <c r="AA881" s="391">
        <f t="shared" si="860"/>
        <v>4632815.3327739909</v>
      </c>
      <c r="AB881" s="391">
        <f t="shared" si="860"/>
        <v>4592477.5701062018</v>
      </c>
      <c r="AC881" s="391">
        <f t="shared" si="860"/>
        <v>4556951.3872286249</v>
      </c>
      <c r="AD881" s="391">
        <f t="shared" si="860"/>
        <v>4554897.0847427081</v>
      </c>
      <c r="AE881" s="391">
        <f t="shared" si="860"/>
        <v>4549896.1956669968</v>
      </c>
      <c r="AF881" s="391">
        <f t="shared" si="860"/>
        <v>4548978.4146079738</v>
      </c>
      <c r="AG881" s="391">
        <f t="shared" si="860"/>
        <v>4548978.4146079738</v>
      </c>
      <c r="AH881" s="391">
        <f t="shared" si="860"/>
        <v>4548978.4146079738</v>
      </c>
    </row>
    <row r="882" spans="6:34">
      <c r="G882" t="s">
        <v>231</v>
      </c>
      <c r="N882" s="391"/>
      <c r="O882" s="391"/>
      <c r="P882" s="391"/>
      <c r="Q882" s="391"/>
      <c r="R882" s="391"/>
      <c r="S882" s="391"/>
      <c r="T882" s="391"/>
      <c r="U882" s="391"/>
      <c r="V882" s="391"/>
      <c r="W882" s="391"/>
      <c r="X882" s="558">
        <f t="shared" si="858"/>
        <v>517535560.49594361</v>
      </c>
      <c r="Y882" s="391">
        <f>SUMIF($G$594:$G$682, $G882, Y$594:Y$682)</f>
        <v>105202385.8851908</v>
      </c>
      <c r="Z882" s="391">
        <f>SUMIF($G$594:$G$682, $G882, Z$594:Z$682)</f>
        <v>103059991.74089791</v>
      </c>
      <c r="AA882" s="391">
        <f>SUMIF($G$594:$G$682, $G882, AA$594:AA$682)</f>
        <v>100884696.01130533</v>
      </c>
      <c r="AB882" s="391">
        <f>SUMIF($G$594:$G$682, $G882, AB$594:AB$682)</f>
        <v>98696352.148078173</v>
      </c>
      <c r="AC882" s="391">
        <f>SUMIF($G$594:$G$682, $G882, AC$594:AC$682)</f>
        <v>96490182.208042338</v>
      </c>
      <c r="AD882" s="391">
        <f t="shared" si="860"/>
        <v>94231574.853460565</v>
      </c>
      <c r="AE882" s="391">
        <f t="shared" si="860"/>
        <v>91921755.418051139</v>
      </c>
      <c r="AF882" s="391">
        <f t="shared" si="860"/>
        <v>89555436.133583844</v>
      </c>
      <c r="AG882" s="391">
        <f t="shared" si="860"/>
        <v>87130193.383247197</v>
      </c>
      <c r="AH882" s="391">
        <f t="shared" si="860"/>
        <v>84644537.923023432</v>
      </c>
    </row>
    <row r="883" spans="6:34">
      <c r="G883" t="s">
        <v>232</v>
      </c>
      <c r="N883" s="391"/>
      <c r="O883" s="391"/>
      <c r="P883" s="391"/>
      <c r="Q883" s="391"/>
      <c r="R883" s="391"/>
      <c r="S883" s="391"/>
      <c r="T883" s="391"/>
      <c r="U883" s="391"/>
      <c r="V883" s="391"/>
      <c r="W883" s="391"/>
      <c r="X883" s="558">
        <f t="shared" si="858"/>
        <v>13209396.005994601</v>
      </c>
      <c r="Y883" s="391">
        <f t="shared" si="860"/>
        <v>2675797.2334459098</v>
      </c>
      <c r="Z883" s="391">
        <f t="shared" si="860"/>
        <v>2624162.223229717</v>
      </c>
      <c r="AA883" s="391">
        <f t="shared" si="860"/>
        <v>2571613.4577022339</v>
      </c>
      <c r="AB883" s="391">
        <f t="shared" si="860"/>
        <v>2517971.1380351535</v>
      </c>
      <c r="AC883" s="391">
        <f t="shared" si="860"/>
        <v>2463792.647548425</v>
      </c>
      <c r="AD883" s="391">
        <f t="shared" si="860"/>
        <v>2408777.4819765114</v>
      </c>
      <c r="AE883" s="391">
        <f t="shared" si="860"/>
        <v>2352451.3810409484</v>
      </c>
      <c r="AF883" s="391">
        <f t="shared" si="860"/>
        <v>2294844.9780846951</v>
      </c>
      <c r="AG883" s="391">
        <f t="shared" si="860"/>
        <v>2235826.0789019945</v>
      </c>
      <c r="AH883" s="391">
        <f t="shared" si="860"/>
        <v>2175334.0930725597</v>
      </c>
    </row>
    <row r="884" spans="6:34">
      <c r="X884" s="558"/>
    </row>
    <row r="885" spans="6:34" ht="21">
      <c r="F885" t="s">
        <v>233</v>
      </c>
      <c r="G885" s="223"/>
      <c r="X885" s="558"/>
    </row>
    <row r="886" spans="6:34">
      <c r="G886" t="s">
        <v>78</v>
      </c>
      <c r="N886" s="391"/>
      <c r="O886" s="391"/>
      <c r="P886" s="391"/>
      <c r="Q886" s="391"/>
      <c r="R886" s="391"/>
      <c r="S886" s="391"/>
      <c r="T886" s="391"/>
      <c r="U886" s="391"/>
      <c r="V886" s="391"/>
      <c r="W886" s="391"/>
      <c r="X886" s="558">
        <f t="shared" si="858"/>
        <v>16108109.345291743</v>
      </c>
      <c r="Y886" s="391">
        <f t="shared" ref="Y886:AH888" si="861">SUMIF($G$690:$G$776, $G886, Y$690:Y$776)</f>
        <v>3079339.4174846951</v>
      </c>
      <c r="Z886" s="391">
        <f t="shared" si="861"/>
        <v>3065070.9666824406</v>
      </c>
      <c r="AA886" s="391">
        <f t="shared" si="861"/>
        <v>3053436.8444472589</v>
      </c>
      <c r="AB886" s="391">
        <f t="shared" si="861"/>
        <v>3028633.2375443978</v>
      </c>
      <c r="AC886" s="391">
        <f t="shared" si="861"/>
        <v>3005605.8616249147</v>
      </c>
      <c r="AD886" s="391">
        <f t="shared" si="861"/>
        <v>3004342.9988586279</v>
      </c>
      <c r="AE886" s="391">
        <f t="shared" si="861"/>
        <v>3003790.4061938939</v>
      </c>
      <c r="AF886" s="391">
        <f t="shared" si="861"/>
        <v>3003226.2090832009</v>
      </c>
      <c r="AG886" s="391">
        <f t="shared" si="861"/>
        <v>3003226.2090832009</v>
      </c>
      <c r="AH886" s="391">
        <f t="shared" si="861"/>
        <v>3003226.2090832009</v>
      </c>
    </row>
    <row r="887" spans="6:34">
      <c r="G887" t="s">
        <v>231</v>
      </c>
      <c r="N887" s="391"/>
      <c r="O887" s="391"/>
      <c r="P887" s="391"/>
      <c r="Q887" s="391"/>
      <c r="R887" s="391"/>
      <c r="S887" s="391"/>
      <c r="T887" s="391"/>
      <c r="U887" s="391"/>
      <c r="V887" s="391"/>
      <c r="W887" s="391"/>
      <c r="X887" s="558">
        <f t="shared" si="858"/>
        <v>326261681.92871648</v>
      </c>
      <c r="Y887" s="391">
        <f>SUMIF($G$690:$G$776, $G887, Y$690:Y$776)</f>
        <v>66774582.959161751</v>
      </c>
      <c r="Z887" s="391">
        <f>SUMIF($G$690:$G$776, $G887, Z$690:Z$776)</f>
        <v>65302201.505526431</v>
      </c>
      <c r="AA887" s="391">
        <f>SUMIF($G$690:$G$776, $G887, AA$690:AA$776)</f>
        <v>63805439.69597844</v>
      </c>
      <c r="AB887" s="391">
        <f>SUMIF($G$690:$G$776, $G887, AB$690:AB$776)</f>
        <v>62296626.331477314</v>
      </c>
      <c r="AC887" s="391">
        <f>SUMIF($G$690:$G$776, $G887, AC$690:AC$776)</f>
        <v>60773904.945818886</v>
      </c>
      <c r="AD887" s="391">
        <f t="shared" si="861"/>
        <v>59214711.543936215</v>
      </c>
      <c r="AE887" s="391">
        <f t="shared" si="861"/>
        <v>57617169.827198789</v>
      </c>
      <c r="AF887" s="391">
        <f t="shared" si="861"/>
        <v>55980319.512323797</v>
      </c>
      <c r="AG887" s="391">
        <f t="shared" si="861"/>
        <v>54302618.294930823</v>
      </c>
      <c r="AH887" s="391">
        <f t="shared" si="861"/>
        <v>52583036.269215465</v>
      </c>
    </row>
    <row r="888" spans="6:34">
      <c r="G888" t="s">
        <v>232</v>
      </c>
      <c r="N888" s="391"/>
      <c r="O888" s="391"/>
      <c r="P888" s="391"/>
      <c r="Q888" s="391"/>
      <c r="R888" s="391"/>
      <c r="S888" s="391"/>
      <c r="T888" s="391"/>
      <c r="U888" s="391"/>
      <c r="V888" s="391"/>
      <c r="W888" s="391"/>
      <c r="X888" s="558">
        <f t="shared" si="858"/>
        <v>8356977.5962910242</v>
      </c>
      <c r="Y888" s="391">
        <f t="shared" si="861"/>
        <v>1703715.4256456296</v>
      </c>
      <c r="Z888" s="391">
        <f t="shared" si="861"/>
        <v>1668134.6882944962</v>
      </c>
      <c r="AA888" s="391">
        <f t="shared" si="861"/>
        <v>1631885.6480366029</v>
      </c>
      <c r="AB888" s="391">
        <f t="shared" si="861"/>
        <v>1594865.9147697662</v>
      </c>
      <c r="AC888" s="391">
        <f t="shared" si="861"/>
        <v>1557415.6582869331</v>
      </c>
      <c r="AD888" s="391">
        <f t="shared" si="861"/>
        <v>1519347.6236454723</v>
      </c>
      <c r="AE888" s="391">
        <f t="shared" si="861"/>
        <v>1480367.7885984054</v>
      </c>
      <c r="AF888" s="391">
        <f t="shared" si="861"/>
        <v>1440429.2456799699</v>
      </c>
      <c r="AG888" s="391">
        <f t="shared" si="861"/>
        <v>1399507.9878080951</v>
      </c>
      <c r="AH888" s="391">
        <f t="shared" si="861"/>
        <v>1357565.4573732708</v>
      </c>
    </row>
    <row r="889" spans="6:34">
      <c r="X889" s="558"/>
    </row>
    <row r="890" spans="6:34" ht="21">
      <c r="F890" t="s">
        <v>226</v>
      </c>
      <c r="G890" s="223"/>
      <c r="X890" s="558"/>
    </row>
    <row r="891" spans="6:34">
      <c r="G891" t="s">
        <v>78</v>
      </c>
      <c r="N891" s="391"/>
      <c r="O891" s="391"/>
      <c r="P891" s="391"/>
      <c r="Q891" s="391"/>
      <c r="R891" s="391"/>
      <c r="S891" s="391"/>
      <c r="T891" s="391"/>
      <c r="U891" s="391"/>
      <c r="V891" s="391"/>
      <c r="W891" s="391"/>
      <c r="X891" s="558">
        <f t="shared" si="858"/>
        <v>2516201.6232439838</v>
      </c>
      <c r="Y891" s="391">
        <f t="shared" ref="Y891:AH893" si="862">SUMIF($G$783:$G$869, $G891, Y$783:Y$869)</f>
        <v>481480.72629931523</v>
      </c>
      <c r="Z891" s="391">
        <f t="shared" si="862"/>
        <v>479078.04371934955</v>
      </c>
      <c r="AA891" s="391">
        <f t="shared" si="862"/>
        <v>476910.26948987477</v>
      </c>
      <c r="AB891" s="391">
        <f t="shared" si="862"/>
        <v>473311.10468955629</v>
      </c>
      <c r="AC891" s="391">
        <f t="shared" si="862"/>
        <v>469131.77842278965</v>
      </c>
      <c r="AD891" s="391">
        <f t="shared" si="862"/>
        <v>468982.43201675604</v>
      </c>
      <c r="AE891" s="391">
        <f t="shared" si="862"/>
        <v>468917.08229651587</v>
      </c>
      <c r="AF891" s="391">
        <f t="shared" si="862"/>
        <v>468850.36023215071</v>
      </c>
      <c r="AG891" s="391">
        <f t="shared" si="862"/>
        <v>468850.36023215071</v>
      </c>
      <c r="AH891" s="391">
        <f t="shared" si="862"/>
        <v>468850.36023215071</v>
      </c>
    </row>
    <row r="892" spans="6:34">
      <c r="G892" t="s">
        <v>231</v>
      </c>
      <c r="N892" s="391"/>
      <c r="O892" s="391"/>
      <c r="P892" s="391"/>
      <c r="Q892" s="391"/>
      <c r="R892" s="391"/>
      <c r="S892" s="391"/>
      <c r="T892" s="391"/>
      <c r="U892" s="391"/>
      <c r="V892" s="391"/>
      <c r="W892" s="391"/>
      <c r="X892" s="558">
        <f t="shared" si="858"/>
        <v>50758963.072612599</v>
      </c>
      <c r="Y892" s="391">
        <f>SUMIF($G$783:$G$869, $G892, Y$783:Y$869)</f>
        <v>10395174.954992898</v>
      </c>
      <c r="Z892" s="391">
        <f>SUMIF($G$783:$G$869, $G892, Z$783:Z$869)</f>
        <v>10163934.029569788</v>
      </c>
      <c r="AA892" s="391">
        <f>SUMIF($G$783:$G$869, $G892, AA$783:AA$869)</f>
        <v>9929248.0257838499</v>
      </c>
      <c r="AB892" s="391">
        <f>SUMIF($G$783:$G$869, $G892, AB$783:AB$869)</f>
        <v>9692415.2761015669</v>
      </c>
      <c r="AC892" s="391">
        <f>SUMIF($G$783:$G$869, $G892, AC$783:AC$869)</f>
        <v>9453971.8630125672</v>
      </c>
      <c r="AD892" s="391">
        <f t="shared" si="862"/>
        <v>9209757.4832003713</v>
      </c>
      <c r="AE892" s="391">
        <f t="shared" si="862"/>
        <v>8959514.2687650286</v>
      </c>
      <c r="AF892" s="391">
        <f t="shared" si="862"/>
        <v>8703091.4607466236</v>
      </c>
      <c r="AG892" s="391">
        <f t="shared" si="862"/>
        <v>8440268.5582860522</v>
      </c>
      <c r="AH892" s="391">
        <f t="shared" si="862"/>
        <v>8170884.7251866236</v>
      </c>
    </row>
    <row r="893" spans="6:34">
      <c r="G893" t="s">
        <v>232</v>
      </c>
      <c r="N893" s="391"/>
      <c r="O893" s="391"/>
      <c r="P893" s="391"/>
      <c r="Q893" s="391"/>
      <c r="R893" s="391"/>
      <c r="S893" s="391"/>
      <c r="T893" s="391"/>
      <c r="U893" s="391"/>
      <c r="V893" s="391"/>
      <c r="W893" s="391"/>
      <c r="X893" s="558">
        <f t="shared" si="858"/>
        <v>1300104.7448221021</v>
      </c>
      <c r="Y893" s="391">
        <f t="shared" si="862"/>
        <v>265101.40879592916</v>
      </c>
      <c r="Z893" s="391">
        <f t="shared" si="862"/>
        <v>259571.62725873891</v>
      </c>
      <c r="AA893" s="391">
        <f t="shared" si="862"/>
        <v>253929.73625202593</v>
      </c>
      <c r="AB893" s="391">
        <f t="shared" si="862"/>
        <v>248162.85860612491</v>
      </c>
      <c r="AC893" s="391">
        <f t="shared" si="862"/>
        <v>242310.38190253917</v>
      </c>
      <c r="AD893" s="391">
        <f t="shared" si="862"/>
        <v>236349.29657531416</v>
      </c>
      <c r="AE893" s="391">
        <f t="shared" si="862"/>
        <v>230243.93708000926</v>
      </c>
      <c r="AF893" s="391">
        <f t="shared" si="862"/>
        <v>223987.85671912573</v>
      </c>
      <c r="AG893" s="391">
        <f t="shared" si="862"/>
        <v>217577.28651866558</v>
      </c>
      <c r="AH893" s="391">
        <f t="shared" si="862"/>
        <v>211006.71395715134</v>
      </c>
    </row>
  </sheetData>
  <pageMargins left="0.7" right="0.7" top="0.75" bottom="0.75" header="0.3" footer="0.3"/>
  <pageSetup paperSize="8" scale="47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70C0"/>
  </sheetPr>
  <dimension ref="A1:Y38"/>
  <sheetViews>
    <sheetView showGridLines="0" topLeftCell="E6" zoomScale="85" zoomScaleNormal="85" zoomScaleSheetLayoutView="85" workbookViewId="0">
      <selection activeCell="Y32" sqref="Y32"/>
    </sheetView>
  </sheetViews>
  <sheetFormatPr defaultColWidth="9.140625" defaultRowHeight="12" outlineLevelCol="1"/>
  <cols>
    <col min="1" max="5" width="1.7109375" style="100" bestFit="1" customWidth="1" outlineLevel="1"/>
    <col min="6" max="6" width="1.7109375" style="100" bestFit="1" customWidth="1"/>
    <col min="7" max="7" width="32.28515625" style="100" customWidth="1"/>
    <col min="8" max="8" width="4.7109375" style="100" customWidth="1"/>
    <col min="9" max="9" width="16.5703125" style="100" customWidth="1"/>
    <col min="10" max="10" width="2.42578125" style="100" bestFit="1" customWidth="1"/>
    <col min="11" max="11" width="5.5703125" style="100" bestFit="1" customWidth="1"/>
    <col min="12" max="12" width="5.28515625" style="100" bestFit="1" customWidth="1"/>
    <col min="13" max="13" width="5.5703125" style="100" bestFit="1" customWidth="1"/>
    <col min="14" max="14" width="6.140625" style="100" bestFit="1" customWidth="1"/>
    <col min="15" max="24" width="5.85546875" style="100" bestFit="1" customWidth="1"/>
    <col min="25" max="16384" width="9.140625" style="100"/>
  </cols>
  <sheetData>
    <row r="1" spans="1: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ht="21">
      <c r="A2" s="129"/>
      <c r="B2" s="129"/>
      <c r="C2" s="129"/>
      <c r="D2" s="129"/>
      <c r="E2" s="129"/>
      <c r="F2" s="129"/>
      <c r="G2" s="132" t="s">
        <v>27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ht="12.75">
      <c r="A3" s="129"/>
      <c r="B3" s="129"/>
      <c r="C3" s="129"/>
      <c r="D3" s="129"/>
      <c r="E3" s="129"/>
      <c r="F3" s="129"/>
      <c r="G3" s="131">
        <v>0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>
      <c r="A4" s="129"/>
      <c r="B4" s="129"/>
      <c r="C4" s="129"/>
      <c r="D4" s="129"/>
      <c r="E4" s="129"/>
      <c r="F4" s="129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1:25">
      <c r="A5" s="127">
        <v>1</v>
      </c>
      <c r="B5" s="127">
        <f t="shared" ref="B5:S5" si="0">A5+1</f>
        <v>2</v>
      </c>
      <c r="C5" s="127">
        <f t="shared" si="0"/>
        <v>3</v>
      </c>
      <c r="D5" s="127">
        <f t="shared" si="0"/>
        <v>4</v>
      </c>
      <c r="E5" s="127">
        <f t="shared" si="0"/>
        <v>5</v>
      </c>
      <c r="F5" s="127">
        <f t="shared" si="0"/>
        <v>6</v>
      </c>
      <c r="G5" s="127">
        <f t="shared" si="0"/>
        <v>7</v>
      </c>
      <c r="H5" s="127">
        <f t="shared" si="0"/>
        <v>8</v>
      </c>
      <c r="I5" s="127">
        <f t="shared" si="0"/>
        <v>9</v>
      </c>
      <c r="J5" s="127">
        <f t="shared" si="0"/>
        <v>10</v>
      </c>
      <c r="K5" s="127">
        <f t="shared" si="0"/>
        <v>11</v>
      </c>
      <c r="L5" s="127">
        <f t="shared" si="0"/>
        <v>12</v>
      </c>
      <c r="M5" s="127">
        <f t="shared" si="0"/>
        <v>13</v>
      </c>
      <c r="N5" s="127">
        <f t="shared" si="0"/>
        <v>14</v>
      </c>
      <c r="O5" s="127">
        <f t="shared" si="0"/>
        <v>15</v>
      </c>
      <c r="P5" s="127">
        <f t="shared" si="0"/>
        <v>16</v>
      </c>
      <c r="Q5" s="127">
        <f t="shared" si="0"/>
        <v>17</v>
      </c>
      <c r="R5" s="127">
        <f t="shared" si="0"/>
        <v>18</v>
      </c>
      <c r="S5" s="127">
        <f t="shared" si="0"/>
        <v>19</v>
      </c>
      <c r="T5" s="127">
        <f>S5+1</f>
        <v>20</v>
      </c>
      <c r="U5" s="127">
        <f>T5+1</f>
        <v>21</v>
      </c>
      <c r="V5" s="127">
        <f>U5+1</f>
        <v>22</v>
      </c>
      <c r="W5" s="127">
        <f>V5+1</f>
        <v>23</v>
      </c>
      <c r="X5" s="127">
        <f>W5+1</f>
        <v>24</v>
      </c>
    </row>
    <row r="6" spans="1:25">
      <c r="G6" s="126"/>
    </row>
    <row r="7" spans="1:25">
      <c r="G7" s="126"/>
      <c r="H7" s="125"/>
    </row>
    <row r="8" spans="1:25">
      <c r="I8" s="124"/>
      <c r="K8" s="123">
        <f>'Volume &amp; CPI forecast'!K10</f>
        <v>39994</v>
      </c>
      <c r="L8" s="123">
        <f>'Volume &amp; CPI forecast'!L10</f>
        <v>40359</v>
      </c>
      <c r="M8" s="123">
        <f>'Volume &amp; CPI forecast'!M10</f>
        <v>40724</v>
      </c>
      <c r="N8" s="123">
        <f>'Volume &amp; CPI forecast'!N10</f>
        <v>41090</v>
      </c>
      <c r="O8" s="123">
        <f>'Volume &amp; CPI forecast'!O10</f>
        <v>41455</v>
      </c>
      <c r="P8" s="123">
        <f>'Volume &amp; CPI forecast'!P10</f>
        <v>41820</v>
      </c>
      <c r="Q8" s="123">
        <f>'Volume &amp; CPI forecast'!Q10</f>
        <v>42185</v>
      </c>
      <c r="R8" s="123">
        <f>'Volume &amp; CPI forecast'!R10</f>
        <v>42551</v>
      </c>
      <c r="S8" s="123">
        <f>'Volume &amp; CPI forecast'!S10</f>
        <v>42916</v>
      </c>
      <c r="T8" s="123">
        <f>'Volume &amp; CPI forecast'!T10</f>
        <v>43281</v>
      </c>
      <c r="U8" s="123">
        <f>'Volume &amp; CPI forecast'!U10</f>
        <v>43646</v>
      </c>
      <c r="V8" s="123">
        <f>'Volume &amp; CPI forecast'!V10</f>
        <v>44012</v>
      </c>
      <c r="W8" s="123">
        <f>'Volume &amp; CPI forecast'!W10</f>
        <v>44377</v>
      </c>
      <c r="X8" s="123">
        <f>'Volume &amp; CPI forecast'!X10</f>
        <v>44742</v>
      </c>
      <c r="Y8" s="352" t="s">
        <v>175</v>
      </c>
    </row>
    <row r="9" spans="1:25">
      <c r="G9" s="44"/>
      <c r="H9" s="4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352"/>
    </row>
    <row r="10" spans="1:25" ht="15.75">
      <c r="G10" s="89" t="s">
        <v>103</v>
      </c>
      <c r="H10" s="121"/>
      <c r="Y10" s="352"/>
    </row>
    <row r="11" spans="1:25">
      <c r="Y11" s="352"/>
    </row>
    <row r="12" spans="1:25">
      <c r="G12" s="130" t="s">
        <v>102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359"/>
    </row>
    <row r="13" spans="1:25"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Y13" s="352"/>
    </row>
    <row r="14" spans="1:25">
      <c r="G14" s="565" t="s">
        <v>235</v>
      </c>
      <c r="H14" s="260"/>
      <c r="I14" s="259"/>
      <c r="J14" s="259"/>
      <c r="K14" s="259"/>
      <c r="L14" s="259"/>
      <c r="M14" s="254"/>
      <c r="N14" s="566">
        <v>0.06</v>
      </c>
      <c r="O14" s="566">
        <v>0.06</v>
      </c>
      <c r="P14" s="566">
        <v>0.06</v>
      </c>
      <c r="Q14" s="566">
        <v>0.06</v>
      </c>
      <c r="R14" s="566">
        <v>0.06</v>
      </c>
      <c r="S14" s="566">
        <v>0.06</v>
      </c>
      <c r="T14" s="566">
        <v>0.06</v>
      </c>
      <c r="U14" s="566">
        <v>0.06</v>
      </c>
      <c r="V14" s="566">
        <v>0.06</v>
      </c>
      <c r="W14" s="566">
        <v>0.06</v>
      </c>
      <c r="X14" s="566">
        <v>0.06</v>
      </c>
      <c r="Y14" s="566">
        <v>0.06</v>
      </c>
    </row>
    <row r="15" spans="1:25" ht="12.75">
      <c r="G15" s="565" t="s">
        <v>236</v>
      </c>
      <c r="H15" s="260"/>
      <c r="I15" s="259"/>
      <c r="J15" s="259"/>
      <c r="K15" s="259"/>
      <c r="L15" s="259"/>
      <c r="M15" s="254"/>
      <c r="N15" s="567">
        <v>0.7</v>
      </c>
      <c r="O15" s="567">
        <v>0.7</v>
      </c>
      <c r="P15" s="567">
        <v>0.7</v>
      </c>
      <c r="Q15" s="567">
        <v>0.7</v>
      </c>
      <c r="R15" s="567">
        <v>0.7</v>
      </c>
      <c r="S15" s="567">
        <v>0.7</v>
      </c>
      <c r="T15" s="567">
        <v>0.7</v>
      </c>
      <c r="U15" s="567">
        <v>0.7</v>
      </c>
      <c r="V15" s="567">
        <v>0.7</v>
      </c>
      <c r="W15" s="567">
        <v>0.7</v>
      </c>
      <c r="X15" s="567">
        <v>0.7</v>
      </c>
      <c r="Y15" s="567">
        <v>0.7</v>
      </c>
    </row>
    <row r="16" spans="1:25" ht="12.75">
      <c r="G16" s="565" t="s">
        <v>237</v>
      </c>
      <c r="H16" s="260"/>
      <c r="I16" s="259"/>
      <c r="J16" s="259"/>
      <c r="K16" s="259"/>
      <c r="L16" s="259"/>
      <c r="M16" s="254"/>
      <c r="N16" s="567">
        <f>N15/(1-N17)</f>
        <v>0.94594594594594594</v>
      </c>
      <c r="O16" s="567">
        <f t="shared" ref="O16:Y16" si="1">O15/(1-O17)</f>
        <v>0.94594594594594594</v>
      </c>
      <c r="P16" s="567">
        <f t="shared" si="1"/>
        <v>0.94594594594594594</v>
      </c>
      <c r="Q16" s="567">
        <f t="shared" si="1"/>
        <v>0.94594594594594594</v>
      </c>
      <c r="R16" s="567">
        <f t="shared" si="1"/>
        <v>0.94594594594594594</v>
      </c>
      <c r="S16" s="567">
        <f t="shared" si="1"/>
        <v>0.94594594594594594</v>
      </c>
      <c r="T16" s="567">
        <f t="shared" si="1"/>
        <v>0.94594594594594594</v>
      </c>
      <c r="U16" s="567">
        <f t="shared" si="1"/>
        <v>0.94594594594594594</v>
      </c>
      <c r="V16" s="567">
        <f t="shared" si="1"/>
        <v>0.94594594594594594</v>
      </c>
      <c r="W16" s="567">
        <f t="shared" si="1"/>
        <v>0.94594594594594594</v>
      </c>
      <c r="X16" s="567">
        <f t="shared" si="1"/>
        <v>0.94594594594594594</v>
      </c>
      <c r="Y16" s="567">
        <f t="shared" si="1"/>
        <v>0.94594594594594594</v>
      </c>
    </row>
    <row r="17" spans="7:25" ht="12.75">
      <c r="G17" s="565" t="s">
        <v>238</v>
      </c>
      <c r="H17" s="260"/>
      <c r="I17" s="259"/>
      <c r="J17" s="259"/>
      <c r="K17" s="259"/>
      <c r="L17" s="259"/>
      <c r="M17" s="254"/>
      <c r="N17" s="568">
        <v>0.26</v>
      </c>
      <c r="O17" s="568">
        <v>0.26</v>
      </c>
      <c r="P17" s="568">
        <v>0.26</v>
      </c>
      <c r="Q17" s="568">
        <v>0.26</v>
      </c>
      <c r="R17" s="568">
        <v>0.26</v>
      </c>
      <c r="S17" s="568">
        <v>0.26</v>
      </c>
      <c r="T17" s="568">
        <v>0.26</v>
      </c>
      <c r="U17" s="568">
        <v>0.26</v>
      </c>
      <c r="V17" s="568">
        <v>0.26</v>
      </c>
      <c r="W17" s="568">
        <v>0.26</v>
      </c>
      <c r="X17" s="568">
        <v>0.26</v>
      </c>
      <c r="Y17" s="568">
        <v>0.26</v>
      </c>
    </row>
    <row r="18" spans="7:25" ht="12.75">
      <c r="G18" s="565" t="s">
        <v>239</v>
      </c>
      <c r="H18" s="260"/>
      <c r="I18" s="259"/>
      <c r="J18" s="259"/>
      <c r="K18" s="259"/>
      <c r="L18" s="259"/>
      <c r="M18" s="254"/>
      <c r="N18" s="569">
        <v>7.4999999999999997E-2</v>
      </c>
      <c r="O18" s="569">
        <v>7.4999999999999997E-2</v>
      </c>
      <c r="P18" s="569">
        <v>7.4999999999999997E-2</v>
      </c>
      <c r="Q18" s="569">
        <v>7.4999999999999997E-2</v>
      </c>
      <c r="R18" s="569">
        <v>7.4999999999999997E-2</v>
      </c>
      <c r="S18" s="569">
        <v>7.4999999999999997E-2</v>
      </c>
      <c r="T18" s="569">
        <v>7.4999999999999997E-2</v>
      </c>
      <c r="U18" s="569">
        <v>7.4999999999999997E-2</v>
      </c>
      <c r="V18" s="569">
        <v>7.4999999999999997E-2</v>
      </c>
      <c r="W18" s="569">
        <v>7.4999999999999997E-2</v>
      </c>
      <c r="X18" s="569">
        <v>7.4999999999999997E-2</v>
      </c>
      <c r="Y18" s="569">
        <v>7.4999999999999997E-2</v>
      </c>
    </row>
    <row r="19" spans="7:25">
      <c r="G19" s="565" t="s">
        <v>240</v>
      </c>
      <c r="H19" s="260"/>
      <c r="I19" s="259"/>
      <c r="J19" s="259"/>
      <c r="K19" s="259"/>
      <c r="L19" s="259"/>
      <c r="M19" s="254"/>
      <c r="N19" s="566">
        <f>4.31%+2.35%</f>
        <v>6.6599999999999993E-2</v>
      </c>
      <c r="O19" s="566">
        <f t="shared" ref="O19:Y19" si="2">4.31%+2.35%</f>
        <v>6.6599999999999993E-2</v>
      </c>
      <c r="P19" s="566">
        <f t="shared" si="2"/>
        <v>6.6599999999999993E-2</v>
      </c>
      <c r="Q19" s="566">
        <f t="shared" si="2"/>
        <v>6.6599999999999993E-2</v>
      </c>
      <c r="R19" s="566">
        <f t="shared" si="2"/>
        <v>6.6599999999999993E-2</v>
      </c>
      <c r="S19" s="566">
        <f t="shared" si="2"/>
        <v>6.6599999999999993E-2</v>
      </c>
      <c r="T19" s="566">
        <f t="shared" si="2"/>
        <v>6.6599999999999993E-2</v>
      </c>
      <c r="U19" s="566">
        <f t="shared" si="2"/>
        <v>6.6599999999999993E-2</v>
      </c>
      <c r="V19" s="566">
        <f t="shared" si="2"/>
        <v>6.6599999999999993E-2</v>
      </c>
      <c r="W19" s="566">
        <f t="shared" si="2"/>
        <v>6.6599999999999993E-2</v>
      </c>
      <c r="X19" s="566">
        <f t="shared" si="2"/>
        <v>6.6599999999999993E-2</v>
      </c>
      <c r="Y19" s="566">
        <f t="shared" si="2"/>
        <v>6.6599999999999993E-2</v>
      </c>
    </row>
    <row r="20" spans="7:25" ht="12.75">
      <c r="G20" s="565" t="s">
        <v>241</v>
      </c>
      <c r="H20" s="260"/>
      <c r="I20" s="259"/>
      <c r="J20" s="259"/>
      <c r="K20" s="259"/>
      <c r="L20" s="259"/>
      <c r="M20" s="254"/>
      <c r="N20" s="569">
        <v>3.5000000000000001E-3</v>
      </c>
      <c r="O20" s="569">
        <v>3.5000000000000001E-3</v>
      </c>
      <c r="P20" s="569">
        <v>3.5000000000000001E-3</v>
      </c>
      <c r="Q20" s="569">
        <v>3.5000000000000001E-3</v>
      </c>
      <c r="R20" s="569">
        <v>3.5000000000000001E-3</v>
      </c>
      <c r="S20" s="569">
        <v>3.5000000000000001E-3</v>
      </c>
      <c r="T20" s="569">
        <v>3.5000000000000001E-3</v>
      </c>
      <c r="U20" s="569">
        <v>3.5000000000000001E-3</v>
      </c>
      <c r="V20" s="569">
        <v>3.5000000000000001E-3</v>
      </c>
      <c r="W20" s="569">
        <v>3.5000000000000001E-3</v>
      </c>
      <c r="X20" s="569">
        <v>3.5000000000000001E-3</v>
      </c>
      <c r="Y20" s="569">
        <v>3.5000000000000001E-3</v>
      </c>
    </row>
    <row r="21" spans="7:25" ht="12.75">
      <c r="G21" s="565" t="s">
        <v>242</v>
      </c>
      <c r="H21" s="260"/>
      <c r="I21" s="259"/>
      <c r="J21" s="259"/>
      <c r="K21" s="259"/>
      <c r="L21" s="259"/>
      <c r="M21" s="254"/>
      <c r="N21" s="569">
        <f>N19+N20</f>
        <v>7.0099999999999996E-2</v>
      </c>
      <c r="O21" s="569">
        <f t="shared" ref="O21:Y21" si="3">O19+O20</f>
        <v>7.0099999999999996E-2</v>
      </c>
      <c r="P21" s="569">
        <f t="shared" si="3"/>
        <v>7.0099999999999996E-2</v>
      </c>
      <c r="Q21" s="569">
        <f t="shared" si="3"/>
        <v>7.0099999999999996E-2</v>
      </c>
      <c r="R21" s="569">
        <f t="shared" si="3"/>
        <v>7.0099999999999996E-2</v>
      </c>
      <c r="S21" s="569">
        <f t="shared" si="3"/>
        <v>7.0099999999999996E-2</v>
      </c>
      <c r="T21" s="569">
        <f t="shared" si="3"/>
        <v>7.0099999999999996E-2</v>
      </c>
      <c r="U21" s="569">
        <f t="shared" si="3"/>
        <v>7.0099999999999996E-2</v>
      </c>
      <c r="V21" s="569">
        <f t="shared" si="3"/>
        <v>7.0099999999999996E-2</v>
      </c>
      <c r="W21" s="569">
        <f t="shared" si="3"/>
        <v>7.0099999999999996E-2</v>
      </c>
      <c r="X21" s="569">
        <f t="shared" si="3"/>
        <v>7.0099999999999996E-2</v>
      </c>
      <c r="Y21" s="569">
        <f t="shared" si="3"/>
        <v>7.0099999999999996E-2</v>
      </c>
    </row>
    <row r="22" spans="7:25">
      <c r="G22" s="213" t="s">
        <v>246</v>
      </c>
      <c r="M22" s="570"/>
      <c r="N22" s="570">
        <v>0.28000000000000003</v>
      </c>
      <c r="O22" s="570">
        <v>0.28000000000000003</v>
      </c>
      <c r="P22" s="570">
        <v>0.28000000000000003</v>
      </c>
      <c r="Q22" s="570">
        <v>0.28000000000000003</v>
      </c>
      <c r="R22" s="570">
        <v>0.28000000000000003</v>
      </c>
      <c r="S22" s="570">
        <v>0.28000000000000003</v>
      </c>
      <c r="T22" s="570">
        <v>0.28000000000000003</v>
      </c>
      <c r="U22" s="570">
        <v>0.28000000000000003</v>
      </c>
      <c r="V22" s="570">
        <v>0.28000000000000003</v>
      </c>
      <c r="W22" s="570">
        <v>0.28000000000000003</v>
      </c>
      <c r="X22" s="570">
        <v>0.28000000000000003</v>
      </c>
      <c r="Y22" s="570">
        <v>0.28000000000000003</v>
      </c>
    </row>
    <row r="23" spans="7:25" ht="12.75">
      <c r="G23" s="565" t="s">
        <v>243</v>
      </c>
      <c r="H23" s="260"/>
      <c r="I23" s="259"/>
      <c r="J23" s="259"/>
      <c r="K23" s="259"/>
      <c r="L23" s="259"/>
      <c r="M23" s="254"/>
      <c r="N23" s="568">
        <f>N22</f>
        <v>0.28000000000000003</v>
      </c>
      <c r="O23" s="568">
        <f t="shared" ref="O23:Y23" si="4">O22</f>
        <v>0.28000000000000003</v>
      </c>
      <c r="P23" s="568">
        <f t="shared" si="4"/>
        <v>0.28000000000000003</v>
      </c>
      <c r="Q23" s="568">
        <f t="shared" si="4"/>
        <v>0.28000000000000003</v>
      </c>
      <c r="R23" s="568">
        <f t="shared" si="4"/>
        <v>0.28000000000000003</v>
      </c>
      <c r="S23" s="568">
        <f t="shared" si="4"/>
        <v>0.28000000000000003</v>
      </c>
      <c r="T23" s="568">
        <f t="shared" si="4"/>
        <v>0.28000000000000003</v>
      </c>
      <c r="U23" s="568">
        <f t="shared" si="4"/>
        <v>0.28000000000000003</v>
      </c>
      <c r="V23" s="568">
        <f t="shared" si="4"/>
        <v>0.28000000000000003</v>
      </c>
      <c r="W23" s="568">
        <f t="shared" si="4"/>
        <v>0.28000000000000003</v>
      </c>
      <c r="X23" s="568">
        <f t="shared" si="4"/>
        <v>0.28000000000000003</v>
      </c>
      <c r="Y23" s="568">
        <f t="shared" si="4"/>
        <v>0.28000000000000003</v>
      </c>
    </row>
    <row r="24" spans="7:25">
      <c r="G24" s="565" t="s">
        <v>244</v>
      </c>
      <c r="H24" s="260"/>
      <c r="I24" s="259"/>
      <c r="J24" s="259"/>
      <c r="K24" s="259"/>
      <c r="L24" s="259"/>
      <c r="M24" s="254"/>
      <c r="N24" s="566">
        <f>N14*(1-N23)+N16*N18</f>
        <v>0.11414594594594593</v>
      </c>
      <c r="O24" s="566">
        <f t="shared" ref="O24:Y24" si="5">O14*(1-O23)+O16*O18</f>
        <v>0.11414594594594593</v>
      </c>
      <c r="P24" s="566">
        <f t="shared" si="5"/>
        <v>0.11414594594594593</v>
      </c>
      <c r="Q24" s="566">
        <f t="shared" si="5"/>
        <v>0.11414594594594593</v>
      </c>
      <c r="R24" s="566">
        <f t="shared" si="5"/>
        <v>0.11414594594594593</v>
      </c>
      <c r="S24" s="566">
        <f t="shared" si="5"/>
        <v>0.11414594594594593</v>
      </c>
      <c r="T24" s="566">
        <f t="shared" si="5"/>
        <v>0.11414594594594593</v>
      </c>
      <c r="U24" s="566">
        <f t="shared" si="5"/>
        <v>0.11414594594594593</v>
      </c>
      <c r="V24" s="566">
        <f t="shared" si="5"/>
        <v>0.11414594594594593</v>
      </c>
      <c r="W24" s="566">
        <f t="shared" si="5"/>
        <v>0.11414594594594593</v>
      </c>
      <c r="X24" s="566">
        <f t="shared" si="5"/>
        <v>0.11414594594594593</v>
      </c>
      <c r="Y24" s="566">
        <f t="shared" si="5"/>
        <v>0.11414594594594593</v>
      </c>
    </row>
    <row r="25" spans="7:25" ht="12.75">
      <c r="G25" s="565" t="s">
        <v>245</v>
      </c>
      <c r="H25" s="260"/>
      <c r="I25" s="259"/>
      <c r="J25" s="259"/>
      <c r="K25" s="259"/>
      <c r="L25" s="259"/>
      <c r="M25" s="254"/>
      <c r="N25" s="569">
        <f>N21</f>
        <v>7.0099999999999996E-2</v>
      </c>
      <c r="O25" s="569">
        <f t="shared" ref="O25:Y25" si="6">O21</f>
        <v>7.0099999999999996E-2</v>
      </c>
      <c r="P25" s="569">
        <f t="shared" si="6"/>
        <v>7.0099999999999996E-2</v>
      </c>
      <c r="Q25" s="569">
        <f t="shared" si="6"/>
        <v>7.0099999999999996E-2</v>
      </c>
      <c r="R25" s="569">
        <f t="shared" si="6"/>
        <v>7.0099999999999996E-2</v>
      </c>
      <c r="S25" s="569">
        <f t="shared" si="6"/>
        <v>7.0099999999999996E-2</v>
      </c>
      <c r="T25" s="569">
        <f t="shared" si="6"/>
        <v>7.0099999999999996E-2</v>
      </c>
      <c r="U25" s="569">
        <f t="shared" si="6"/>
        <v>7.0099999999999996E-2</v>
      </c>
      <c r="V25" s="569">
        <f t="shared" si="6"/>
        <v>7.0099999999999996E-2</v>
      </c>
      <c r="W25" s="569">
        <f t="shared" si="6"/>
        <v>7.0099999999999996E-2</v>
      </c>
      <c r="X25" s="569">
        <f t="shared" si="6"/>
        <v>7.0099999999999996E-2</v>
      </c>
      <c r="Y25" s="569">
        <f t="shared" si="6"/>
        <v>7.0099999999999996E-2</v>
      </c>
    </row>
    <row r="26" spans="7:25">
      <c r="G26" s="565"/>
      <c r="H26" s="260"/>
      <c r="I26" s="259"/>
      <c r="J26" s="259"/>
      <c r="K26" s="259"/>
      <c r="L26" s="259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</row>
    <row r="27" spans="7:25">
      <c r="G27" s="256" t="s">
        <v>101</v>
      </c>
      <c r="H27" s="255" t="s">
        <v>100</v>
      </c>
      <c r="I27" s="254"/>
      <c r="M27" s="440"/>
      <c r="N27" s="571">
        <f>N24*(1-N17)+N25*N17*(1-N22)</f>
        <v>9.7590719999999992E-2</v>
      </c>
      <c r="O27" s="571">
        <f t="shared" ref="O27:Y27" si="7">O24*(1-O17)+O25*O17*(1-O22)</f>
        <v>9.7590719999999992E-2</v>
      </c>
      <c r="P27" s="571">
        <f t="shared" si="7"/>
        <v>9.7590719999999992E-2</v>
      </c>
      <c r="Q27" s="571">
        <f t="shared" si="7"/>
        <v>9.7590719999999992E-2</v>
      </c>
      <c r="R27" s="571">
        <f t="shared" si="7"/>
        <v>9.7590719999999992E-2</v>
      </c>
      <c r="S27" s="571">
        <f t="shared" si="7"/>
        <v>9.7590719999999992E-2</v>
      </c>
      <c r="T27" s="571">
        <f t="shared" si="7"/>
        <v>9.7590719999999992E-2</v>
      </c>
      <c r="U27" s="571">
        <f t="shared" si="7"/>
        <v>9.7590719999999992E-2</v>
      </c>
      <c r="V27" s="571">
        <f t="shared" si="7"/>
        <v>9.7590719999999992E-2</v>
      </c>
      <c r="W27" s="571">
        <f t="shared" si="7"/>
        <v>9.7590719999999992E-2</v>
      </c>
      <c r="X27" s="571">
        <f t="shared" si="7"/>
        <v>9.7590719999999992E-2</v>
      </c>
      <c r="Y27" s="571">
        <f t="shared" si="7"/>
        <v>9.7590719999999992E-2</v>
      </c>
    </row>
    <row r="28" spans="7:25" ht="12.75" thickBot="1"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352"/>
    </row>
    <row r="29" spans="7:25"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352"/>
    </row>
    <row r="30" spans="7:25">
      <c r="G30" s="130" t="s">
        <v>99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359"/>
    </row>
    <row r="31" spans="7:25"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352"/>
    </row>
    <row r="32" spans="7:25">
      <c r="G32" s="256" t="s">
        <v>98</v>
      </c>
      <c r="H32" s="254"/>
      <c r="I32" s="255" t="s">
        <v>97</v>
      </c>
      <c r="J32" s="254"/>
      <c r="K32" s="254"/>
      <c r="M32" s="253"/>
      <c r="N32" s="253">
        <f>N27/(1-N33)</f>
        <v>0.13554266666666667</v>
      </c>
      <c r="O32" s="253">
        <f t="shared" ref="O32:Y32" si="8">O27/(1-O33)</f>
        <v>0.13554266666666667</v>
      </c>
      <c r="P32" s="253">
        <f t="shared" si="8"/>
        <v>0.13554266666666667</v>
      </c>
      <c r="Q32" s="253">
        <f t="shared" si="8"/>
        <v>0.13554266666666667</v>
      </c>
      <c r="R32" s="253">
        <f t="shared" si="8"/>
        <v>0.13554266666666667</v>
      </c>
      <c r="S32" s="253">
        <f t="shared" si="8"/>
        <v>0.13554266666666667</v>
      </c>
      <c r="T32" s="253">
        <f t="shared" si="8"/>
        <v>0.13554266666666667</v>
      </c>
      <c r="U32" s="253">
        <f t="shared" si="8"/>
        <v>0.13554266666666667</v>
      </c>
      <c r="V32" s="253">
        <f t="shared" si="8"/>
        <v>0.13554266666666667</v>
      </c>
      <c r="W32" s="253">
        <f t="shared" si="8"/>
        <v>0.13554266666666667</v>
      </c>
      <c r="X32" s="253">
        <f t="shared" si="8"/>
        <v>0.13554266666666667</v>
      </c>
      <c r="Y32" s="253">
        <f t="shared" si="8"/>
        <v>0.13554266666666667</v>
      </c>
    </row>
    <row r="33" spans="1:25">
      <c r="G33" s="256" t="s">
        <v>261</v>
      </c>
      <c r="H33" s="254"/>
      <c r="I33" s="255"/>
      <c r="J33" s="254"/>
      <c r="K33" s="254"/>
      <c r="M33" s="258"/>
      <c r="N33" s="659">
        <f>N23</f>
        <v>0.28000000000000003</v>
      </c>
      <c r="O33" s="659">
        <f t="shared" ref="O33:Y33" si="9">O23</f>
        <v>0.28000000000000003</v>
      </c>
      <c r="P33" s="659">
        <f t="shared" si="9"/>
        <v>0.28000000000000003</v>
      </c>
      <c r="Q33" s="659">
        <f t="shared" si="9"/>
        <v>0.28000000000000003</v>
      </c>
      <c r="R33" s="659">
        <f t="shared" si="9"/>
        <v>0.28000000000000003</v>
      </c>
      <c r="S33" s="659">
        <f t="shared" si="9"/>
        <v>0.28000000000000003</v>
      </c>
      <c r="T33" s="659">
        <f t="shared" si="9"/>
        <v>0.28000000000000003</v>
      </c>
      <c r="U33" s="659">
        <f t="shared" si="9"/>
        <v>0.28000000000000003</v>
      </c>
      <c r="V33" s="659">
        <f t="shared" si="9"/>
        <v>0.28000000000000003</v>
      </c>
      <c r="W33" s="659">
        <f t="shared" si="9"/>
        <v>0.28000000000000003</v>
      </c>
      <c r="X33" s="659">
        <f t="shared" si="9"/>
        <v>0.28000000000000003</v>
      </c>
      <c r="Y33" s="659">
        <f t="shared" si="9"/>
        <v>0.28000000000000003</v>
      </c>
    </row>
    <row r="34" spans="1:25">
      <c r="G34" s="256"/>
      <c r="H34" s="254"/>
      <c r="I34" s="255"/>
      <c r="J34" s="254"/>
      <c r="K34" s="254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352"/>
    </row>
    <row r="35" spans="1:25">
      <c r="Y35" s="352"/>
    </row>
    <row r="36" spans="1:25" customFormat="1" ht="15.75">
      <c r="A36" s="100"/>
      <c r="B36" s="100"/>
      <c r="C36" s="100"/>
      <c r="D36" s="100"/>
      <c r="E36" s="100"/>
      <c r="F36" s="100"/>
      <c r="G36" s="89" t="s">
        <v>138</v>
      </c>
      <c r="H36" s="100"/>
      <c r="I36" s="106"/>
      <c r="J36" s="100"/>
      <c r="K36" s="118"/>
      <c r="L36" s="118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344"/>
    </row>
    <row r="37" spans="1:25" customFormat="1" ht="12.75">
      <c r="A37" s="100"/>
      <c r="B37" s="100"/>
      <c r="C37" s="100"/>
      <c r="D37" s="100"/>
      <c r="E37" s="100"/>
      <c r="F37" s="100"/>
      <c r="G37" s="103" t="s">
        <v>56</v>
      </c>
      <c r="H37" s="100"/>
      <c r="I37" s="106"/>
      <c r="J37" s="106"/>
      <c r="K37" s="116"/>
      <c r="L37" s="116"/>
      <c r="M37" s="116"/>
      <c r="N37" s="116">
        <v>0</v>
      </c>
      <c r="O37" s="116">
        <v>0.5</v>
      </c>
      <c r="P37" s="116">
        <v>1.5</v>
      </c>
      <c r="Q37" s="116">
        <v>2.5</v>
      </c>
      <c r="R37" s="116">
        <v>3.5</v>
      </c>
      <c r="S37" s="116">
        <v>4.5</v>
      </c>
      <c r="T37" s="116">
        <v>5.5</v>
      </c>
      <c r="U37" s="116">
        <v>6.5</v>
      </c>
      <c r="V37" s="116">
        <v>7.5</v>
      </c>
      <c r="W37" s="116">
        <v>8.5</v>
      </c>
      <c r="X37" s="340">
        <v>9.5</v>
      </c>
      <c r="Y37" s="116">
        <v>10.5</v>
      </c>
    </row>
    <row r="38" spans="1:25">
      <c r="M38" s="252"/>
    </row>
  </sheetData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&amp;L&amp;D&amp;R&amp;P of &amp;N</oddFooter>
  </headerFooter>
  <customProperties>
    <customPr name="SSCSheetTrackingNo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theme="8"/>
    <pageSetUpPr fitToPage="1"/>
  </sheetPr>
  <dimension ref="A1:Y90"/>
  <sheetViews>
    <sheetView showGridLines="0" topLeftCell="C1" zoomScaleNormal="100" zoomScaleSheetLayoutView="55" workbookViewId="0">
      <pane ySplit="7" topLeftCell="A62" activePane="bottomLeft" state="frozen"/>
      <selection activeCell="E242" sqref="E242"/>
      <selection pane="bottomLeft" activeCell="O88" sqref="O88"/>
    </sheetView>
  </sheetViews>
  <sheetFormatPr defaultColWidth="0" defaultRowHeight="12.75" outlineLevelCol="1"/>
  <cols>
    <col min="1" max="5" width="1.7109375" bestFit="1" customWidth="1" outlineLevel="1"/>
    <col min="6" max="6" width="1.7109375" bestFit="1" customWidth="1"/>
    <col min="7" max="7" width="27.28515625" customWidth="1"/>
    <col min="8" max="8" width="1.7109375" customWidth="1"/>
    <col min="9" max="9" width="14.7109375" bestFit="1" customWidth="1"/>
    <col min="10" max="10" width="2.42578125" bestFit="1" customWidth="1"/>
    <col min="11" max="13" width="8.7109375" bestFit="1" customWidth="1"/>
    <col min="14" max="14" width="11.28515625" bestFit="1" customWidth="1"/>
    <col min="15" max="15" width="11.140625" bestFit="1" customWidth="1"/>
    <col min="16" max="17" width="11.28515625" bestFit="1" customWidth="1"/>
    <col min="18" max="24" width="11" bestFit="1" customWidth="1"/>
    <col min="25" max="25" width="12" style="344" bestFit="1" customWidth="1"/>
    <col min="26" max="16384" width="8.85546875" hidden="1"/>
  </cols>
  <sheetData>
    <row r="1" spans="1: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355"/>
    </row>
    <row r="2" spans="1:25" ht="21">
      <c r="A2" s="129"/>
      <c r="B2" s="129"/>
      <c r="C2" s="129"/>
      <c r="D2" s="129"/>
      <c r="E2" s="129"/>
      <c r="F2" s="129"/>
      <c r="G2" s="132" t="s">
        <v>27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355"/>
    </row>
    <row r="3" spans="1:25">
      <c r="A3" s="129"/>
      <c r="B3" s="129"/>
      <c r="C3" s="129"/>
      <c r="D3" s="129"/>
      <c r="E3" s="129"/>
      <c r="F3" s="129"/>
      <c r="G3" s="131">
        <v>0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55"/>
    </row>
    <row r="4" spans="1:25">
      <c r="A4" s="129"/>
      <c r="B4" s="129"/>
      <c r="C4" s="129"/>
      <c r="D4" s="129"/>
      <c r="E4" s="129"/>
      <c r="F4" s="129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355"/>
    </row>
    <row r="5" spans="1:25">
      <c r="A5" s="127">
        <v>1</v>
      </c>
      <c r="B5" s="127">
        <f t="shared" ref="B5:S5" si="0">A5+1</f>
        <v>2</v>
      </c>
      <c r="C5" s="127">
        <f t="shared" si="0"/>
        <v>3</v>
      </c>
      <c r="D5" s="127">
        <f t="shared" si="0"/>
        <v>4</v>
      </c>
      <c r="E5" s="127">
        <f t="shared" si="0"/>
        <v>5</v>
      </c>
      <c r="F5" s="127">
        <f t="shared" si="0"/>
        <v>6</v>
      </c>
      <c r="G5" s="127">
        <f t="shared" si="0"/>
        <v>7</v>
      </c>
      <c r="H5" s="127">
        <f t="shared" si="0"/>
        <v>8</v>
      </c>
      <c r="I5" s="127">
        <f t="shared" si="0"/>
        <v>9</v>
      </c>
      <c r="J5" s="127">
        <f t="shared" si="0"/>
        <v>10</v>
      </c>
      <c r="K5" s="127">
        <f t="shared" si="0"/>
        <v>11</v>
      </c>
      <c r="L5" s="127">
        <f t="shared" si="0"/>
        <v>12</v>
      </c>
      <c r="M5" s="127">
        <f t="shared" si="0"/>
        <v>13</v>
      </c>
      <c r="N5" s="127">
        <f t="shared" si="0"/>
        <v>14</v>
      </c>
      <c r="O5" s="127">
        <f t="shared" si="0"/>
        <v>15</v>
      </c>
      <c r="P5" s="127">
        <f t="shared" si="0"/>
        <v>16</v>
      </c>
      <c r="Q5" s="127">
        <f t="shared" si="0"/>
        <v>17</v>
      </c>
      <c r="R5" s="127">
        <f t="shared" si="0"/>
        <v>18</v>
      </c>
      <c r="S5" s="127">
        <f t="shared" si="0"/>
        <v>19</v>
      </c>
      <c r="T5" s="127">
        <f t="shared" ref="T5:Y5" si="1">S5+1</f>
        <v>20</v>
      </c>
      <c r="U5" s="127">
        <f t="shared" si="1"/>
        <v>21</v>
      </c>
      <c r="V5" s="127">
        <f t="shared" si="1"/>
        <v>22</v>
      </c>
      <c r="W5" s="127">
        <f t="shared" si="1"/>
        <v>23</v>
      </c>
      <c r="X5" s="127">
        <f t="shared" si="1"/>
        <v>24</v>
      </c>
      <c r="Y5" s="374">
        <f t="shared" si="1"/>
        <v>25</v>
      </c>
    </row>
    <row r="6" spans="1:25">
      <c r="A6" s="100"/>
      <c r="B6" s="100"/>
      <c r="C6" s="100"/>
      <c r="D6" s="100"/>
      <c r="E6" s="100"/>
      <c r="F6" s="100"/>
      <c r="G6" s="100"/>
      <c r="H6" s="100"/>
      <c r="I6" s="124"/>
      <c r="J6" s="100"/>
      <c r="K6" s="123">
        <f>'Volume &amp; CPI forecast'!K10</f>
        <v>39994</v>
      </c>
      <c r="L6" s="123">
        <f>'Volume &amp; CPI forecast'!L10</f>
        <v>40359</v>
      </c>
      <c r="M6" s="123">
        <f>'Volume &amp; CPI forecast'!M10</f>
        <v>40724</v>
      </c>
      <c r="N6" s="123">
        <f>'Volume &amp; CPI forecast'!N10</f>
        <v>41090</v>
      </c>
      <c r="O6" s="123">
        <f>'Volume &amp; CPI forecast'!O10</f>
        <v>41455</v>
      </c>
      <c r="P6" s="123">
        <f>'Volume &amp; CPI forecast'!P10</f>
        <v>41820</v>
      </c>
      <c r="Q6" s="123">
        <f>'Volume &amp; CPI forecast'!Q10</f>
        <v>42185</v>
      </c>
      <c r="R6" s="123">
        <f>'Volume &amp; CPI forecast'!R10</f>
        <v>42551</v>
      </c>
      <c r="S6" s="123">
        <f>'Volume &amp; CPI forecast'!S10</f>
        <v>42916</v>
      </c>
      <c r="T6" s="123">
        <f>'Volume &amp; CPI forecast'!T10</f>
        <v>43281</v>
      </c>
      <c r="U6" s="123">
        <f>'Volume &amp; CPI forecast'!U10</f>
        <v>43646</v>
      </c>
      <c r="V6" s="123">
        <f>'Volume &amp; CPI forecast'!V10</f>
        <v>44012</v>
      </c>
      <c r="W6" s="123">
        <f>'Volume &amp; CPI forecast'!W10</f>
        <v>44377</v>
      </c>
      <c r="X6" s="123">
        <f>'Volume &amp; CPI forecast'!X10</f>
        <v>44742</v>
      </c>
      <c r="Y6" s="342">
        <f>'Volume &amp; CPI forecast'!Y10</f>
        <v>45107</v>
      </c>
    </row>
    <row r="7" spans="1:25" ht="21">
      <c r="A7" s="100"/>
      <c r="B7" s="100"/>
      <c r="C7" s="100"/>
      <c r="D7" s="100"/>
      <c r="E7" s="100"/>
      <c r="F7" s="100" t="str">
        <f>IF(SUM(F13:F73)&lt;&gt;0,1," ")</f>
        <v xml:space="preserve"> </v>
      </c>
      <c r="G7" s="274" t="s">
        <v>10</v>
      </c>
      <c r="H7" s="44"/>
      <c r="I7" s="100"/>
      <c r="J7" s="100"/>
      <c r="K7" s="94" t="str">
        <f>'Volume &amp; CPI forecast'!K11</f>
        <v>Actual   $</v>
      </c>
      <c r="L7" s="94" t="str">
        <f>'Volume &amp; CPI forecast'!L11</f>
        <v>Actual   $</v>
      </c>
      <c r="M7" s="94" t="str">
        <f>'Volume &amp; CPI forecast'!M11</f>
        <v>Actual   $</v>
      </c>
      <c r="N7" s="94" t="str">
        <f>'Volume &amp; CPI forecast'!N11</f>
        <v>Bus Plan   $</v>
      </c>
      <c r="O7" s="94" t="str">
        <f>'Volume &amp; CPI forecast'!O11</f>
        <v>Bus Plan   $</v>
      </c>
      <c r="P7" s="94" t="str">
        <f>'Volume &amp; CPI forecast'!P11</f>
        <v>Bus Plan   $</v>
      </c>
      <c r="Q7" s="94" t="str">
        <f>'Volume &amp; CPI forecast'!Q11</f>
        <v>Forecast   $</v>
      </c>
      <c r="R7" s="94" t="str">
        <f>'Volume &amp; CPI forecast'!R11</f>
        <v>Forecast   $</v>
      </c>
      <c r="S7" s="94" t="str">
        <f>'Volume &amp; CPI forecast'!S11</f>
        <v>Forecast   $</v>
      </c>
      <c r="T7" s="94" t="str">
        <f>'Volume &amp; CPI forecast'!T11</f>
        <v>Forecast   $</v>
      </c>
      <c r="U7" s="94" t="str">
        <f>'Volume &amp; CPI forecast'!U11</f>
        <v>Forecast   $</v>
      </c>
      <c r="V7" s="94" t="str">
        <f>'Volume &amp; CPI forecast'!V11</f>
        <v>Forecast   $</v>
      </c>
      <c r="W7" s="94" t="str">
        <f>'Volume &amp; CPI forecast'!W11</f>
        <v>Forecast   $</v>
      </c>
      <c r="X7" s="94" t="str">
        <f>'Volume &amp; CPI forecast'!X11</f>
        <v>Forecast   $</v>
      </c>
      <c r="Y7" s="343" t="str">
        <f>'Volume &amp; CPI forecast'!Y11</f>
        <v>Terminal value</v>
      </c>
    </row>
    <row r="8" spans="1:25">
      <c r="A8" s="100"/>
      <c r="B8" s="100"/>
      <c r="C8" s="100"/>
      <c r="D8" s="100"/>
      <c r="E8" s="100"/>
      <c r="F8" s="100"/>
      <c r="G8" s="149" t="s">
        <v>179</v>
      </c>
      <c r="H8" s="100"/>
      <c r="I8" s="273"/>
      <c r="J8" s="100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375"/>
    </row>
    <row r="9" spans="1:25">
      <c r="A9" s="100"/>
      <c r="B9" s="100"/>
      <c r="C9" s="100"/>
      <c r="D9" s="100"/>
      <c r="E9" s="100"/>
      <c r="F9" s="100"/>
      <c r="G9" s="100" t="s">
        <v>78</v>
      </c>
      <c r="H9" s="106"/>
      <c r="I9" s="159"/>
      <c r="J9" s="100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377">
        <f>'Asset base'!X876</f>
        <v>24851947.856868915</v>
      </c>
    </row>
    <row r="10" spans="1:25">
      <c r="A10" s="100"/>
      <c r="B10" s="100"/>
      <c r="C10" s="100"/>
      <c r="D10" s="100"/>
      <c r="E10" s="100"/>
      <c r="F10" s="100"/>
      <c r="G10" s="100" t="s">
        <v>180</v>
      </c>
      <c r="H10" s="106"/>
      <c r="I10" s="373"/>
      <c r="J10" s="100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377">
        <f>'Asset base'!X877</f>
        <v>1316569871.7890699</v>
      </c>
    </row>
    <row r="11" spans="1:25">
      <c r="A11" s="100"/>
      <c r="B11" s="100"/>
      <c r="C11" s="100"/>
      <c r="D11" s="100"/>
      <c r="E11" s="100"/>
      <c r="F11" s="100"/>
      <c r="G11" s="100" t="s">
        <v>112</v>
      </c>
      <c r="H11" s="106"/>
      <c r="I11" s="159"/>
      <c r="J11" s="100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377">
        <f>'Asset base'!X878</f>
        <v>32714581.334986206</v>
      </c>
    </row>
    <row r="12" spans="1:25">
      <c r="A12" s="100"/>
      <c r="B12" s="100"/>
      <c r="C12" s="100"/>
      <c r="D12" s="100"/>
      <c r="E12" s="100"/>
      <c r="F12" s="100"/>
      <c r="G12" s="100" t="s">
        <v>247</v>
      </c>
      <c r="H12" s="106"/>
      <c r="I12" s="159"/>
      <c r="J12" s="100"/>
      <c r="K12" s="268"/>
      <c r="L12" s="268"/>
      <c r="M12" s="268"/>
      <c r="N12" s="268"/>
      <c r="O12" s="573">
        <v>87000</v>
      </c>
      <c r="P12" s="572">
        <f>O12*(1+'Volume &amp; CPI forecast'!P13)</f>
        <v>88826.999999999985</v>
      </c>
      <c r="Q12" s="572">
        <f>P12*(1+'Volume &amp; CPI forecast'!Q13)</f>
        <v>90692.366999999984</v>
      </c>
      <c r="R12" s="572">
        <f>Q12*(1+'Volume &amp; CPI forecast'!R13)</f>
        <v>92596.906706999973</v>
      </c>
      <c r="S12" s="572">
        <f>R12*(1+'Volume &amp; CPI forecast'!S13)</f>
        <v>94541.44174784697</v>
      </c>
      <c r="T12" s="572">
        <f>S12*(1+'Volume &amp; CPI forecast'!T13)</f>
        <v>96904.977791543133</v>
      </c>
      <c r="U12" s="572">
        <f>T12*(1+'Volume &amp; CPI forecast'!U13)</f>
        <v>99327.602236331702</v>
      </c>
      <c r="V12" s="572">
        <f>U12*(1+'Volume &amp; CPI forecast'!V13)</f>
        <v>101810.79229223999</v>
      </c>
      <c r="W12" s="572">
        <f>V12*(1+'Volume &amp; CPI forecast'!W13)</f>
        <v>104356.06209954598</v>
      </c>
      <c r="X12" s="572">
        <f>W12*(1+'Volume &amp; CPI forecast'!X13)</f>
        <v>106964.96365203461</v>
      </c>
      <c r="Y12" s="387">
        <f>-PV((Term_WACC-'Volume &amp; CPI forecast'!Y13), 10, AIRFIELD!X12)</f>
        <v>628510.6268525013</v>
      </c>
    </row>
    <row r="13" spans="1:25" ht="15.75">
      <c r="A13" s="130"/>
      <c r="B13" s="130"/>
      <c r="C13" s="130"/>
      <c r="D13" s="130"/>
      <c r="E13" s="130"/>
      <c r="F13" s="130"/>
      <c r="G13" s="162" t="s">
        <v>124</v>
      </c>
      <c r="H13" s="161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359"/>
    </row>
    <row r="14" spans="1:25" ht="15.75">
      <c r="A14" s="100"/>
      <c r="B14" s="100"/>
      <c r="C14" s="100"/>
      <c r="D14" s="100"/>
      <c r="E14" s="100"/>
      <c r="F14" s="100"/>
      <c r="G14" s="89"/>
      <c r="H14" s="12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352"/>
    </row>
    <row r="15" spans="1:25">
      <c r="A15" s="100"/>
      <c r="B15" s="100"/>
      <c r="C15" s="100"/>
      <c r="D15" s="100"/>
      <c r="E15" s="100"/>
      <c r="F15" s="100"/>
      <c r="G15" s="149" t="s">
        <v>123</v>
      </c>
      <c r="H15" s="100"/>
      <c r="I15" s="273"/>
      <c r="J15" s="100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375"/>
    </row>
    <row r="16" spans="1:25">
      <c r="A16" s="100"/>
      <c r="B16" s="100"/>
      <c r="C16" s="100"/>
      <c r="D16" s="100"/>
      <c r="E16" s="100"/>
      <c r="F16" s="100"/>
      <c r="G16" s="100" t="s">
        <v>74</v>
      </c>
      <c r="H16" s="106"/>
      <c r="I16" s="159"/>
      <c r="J16" s="100"/>
      <c r="K16" s="268"/>
      <c r="L16" s="268"/>
      <c r="M16" s="268"/>
      <c r="N16" s="268">
        <f>Opex!N112</f>
        <v>5828090.37064212</v>
      </c>
      <c r="O16" s="268">
        <f>Opex!O112</f>
        <v>6334485.9699552562</v>
      </c>
      <c r="P16" s="268">
        <f>Opex!P112</f>
        <v>6736408.6182545312</v>
      </c>
      <c r="Q16" s="268">
        <f>Opex!Q112</f>
        <v>6913590.2185463468</v>
      </c>
      <c r="R16" s="268">
        <f>Opex!R112</f>
        <v>7058775.6131358193</v>
      </c>
      <c r="S16" s="268">
        <f>Opex!S112</f>
        <v>7207009.9010116709</v>
      </c>
      <c r="T16" s="268">
        <f>Opex!T112</f>
        <v>7387185.1485369625</v>
      </c>
      <c r="U16" s="268">
        <f>Opex!U112</f>
        <v>7571864.7772503858</v>
      </c>
      <c r="V16" s="268">
        <f>Opex!V112</f>
        <v>7761161.396681645</v>
      </c>
      <c r="W16" s="268">
        <f>Opex!W112</f>
        <v>7955190.4315986848</v>
      </c>
      <c r="X16" s="268">
        <f>Opex!X112</f>
        <v>8154070.192388651</v>
      </c>
      <c r="Y16" s="377">
        <f>Opex!Y112</f>
        <v>48457944.544035323</v>
      </c>
    </row>
    <row r="17" spans="1:25">
      <c r="A17" s="100"/>
      <c r="B17" s="100"/>
      <c r="C17" s="100"/>
      <c r="D17" s="100"/>
      <c r="E17" s="100"/>
      <c r="F17" s="100"/>
      <c r="G17" s="100" t="s">
        <v>122</v>
      </c>
      <c r="H17" s="106"/>
      <c r="I17" s="159"/>
      <c r="J17" s="100"/>
      <c r="K17" s="268"/>
      <c r="L17" s="268"/>
      <c r="M17" s="268"/>
      <c r="N17" s="268">
        <f>Opex!N113</f>
        <v>893519.65425641509</v>
      </c>
      <c r="O17" s="268">
        <f>Opex!O113</f>
        <v>270207.0794481879</v>
      </c>
      <c r="P17" s="268">
        <f>Opex!P113</f>
        <v>295053.25251493166</v>
      </c>
      <c r="Q17" s="268">
        <f>Opex!Q113</f>
        <v>270652.39035395603</v>
      </c>
      <c r="R17" s="268">
        <f>Opex!R113</f>
        <v>287698.85603638156</v>
      </c>
      <c r="S17" s="268">
        <f>Opex!S113</f>
        <v>302488.877830568</v>
      </c>
      <c r="T17" s="268">
        <f>Opex!T113</f>
        <v>343285.66911457956</v>
      </c>
      <c r="U17" s="268">
        <f>Opex!U113</f>
        <v>358299.53146000061</v>
      </c>
      <c r="V17" s="268">
        <f>Opex!V113</f>
        <v>375511.99302027363</v>
      </c>
      <c r="W17" s="268">
        <f>Opex!W113</f>
        <v>389095.93583181861</v>
      </c>
      <c r="X17" s="268">
        <f>Opex!X113</f>
        <v>403011.89691455237</v>
      </c>
      <c r="Y17" s="377">
        <f>Opex!Y113</f>
        <v>2455904.1110321824</v>
      </c>
    </row>
    <row r="18" spans="1:25">
      <c r="A18" s="100"/>
      <c r="B18" s="100"/>
      <c r="C18" s="100"/>
      <c r="D18" s="100"/>
      <c r="E18" s="100"/>
      <c r="F18" s="100"/>
      <c r="G18" s="100" t="s">
        <v>121</v>
      </c>
      <c r="H18" s="106"/>
      <c r="I18" s="159"/>
      <c r="J18" s="100"/>
      <c r="K18" s="268"/>
      <c r="L18" s="268"/>
      <c r="M18" s="268"/>
      <c r="N18" s="268">
        <f>Opex!N114</f>
        <v>688586.84800579748</v>
      </c>
      <c r="O18" s="268">
        <f>Opex!O114</f>
        <v>454365.18019956705</v>
      </c>
      <c r="P18" s="268">
        <f>Opex!P114</f>
        <v>432038.71913455724</v>
      </c>
      <c r="Q18" s="268">
        <f>Opex!Q114</f>
        <v>434832.57017990469</v>
      </c>
      <c r="R18" s="268">
        <f>Opex!R114</f>
        <v>445042.30177396128</v>
      </c>
      <c r="S18" s="268">
        <f>Opex!S114</f>
        <v>455498.78516010172</v>
      </c>
      <c r="T18" s="268">
        <f>Opex!T114</f>
        <v>467521.76195596729</v>
      </c>
      <c r="U18" s="268">
        <f>Opex!U114</f>
        <v>479864.37838673557</v>
      </c>
      <c r="V18" s="268">
        <f>Opex!V114</f>
        <v>492535.19739972911</v>
      </c>
      <c r="W18" s="268">
        <f>Opex!W114</f>
        <v>505543.01317464729</v>
      </c>
      <c r="X18" s="268">
        <f>Opex!X114</f>
        <v>518896.8574191361</v>
      </c>
      <c r="Y18" s="377">
        <f>Opex!Y114</f>
        <v>3087967.6141663548</v>
      </c>
    </row>
    <row r="19" spans="1:25">
      <c r="A19" s="100"/>
      <c r="B19" s="100"/>
      <c r="C19" s="100"/>
      <c r="D19" s="100"/>
      <c r="E19" s="100"/>
      <c r="F19" s="100"/>
      <c r="G19" s="100" t="s">
        <v>120</v>
      </c>
      <c r="H19" s="106"/>
      <c r="I19" s="159"/>
      <c r="J19" s="100"/>
      <c r="K19" s="268"/>
      <c r="L19" s="268"/>
      <c r="M19" s="268"/>
      <c r="N19" s="268">
        <f>Opex!N115</f>
        <v>2070511.6812099321</v>
      </c>
      <c r="O19" s="268">
        <f>Opex!O115</f>
        <v>2282503.1747328495</v>
      </c>
      <c r="P19" s="268">
        <f>Opex!P115</f>
        <v>2555389.3157804129</v>
      </c>
      <c r="Q19" s="268">
        <f>Opex!Q115</f>
        <v>2642672.6646621856</v>
      </c>
      <c r="R19" s="268">
        <f>Opex!R115</f>
        <v>2698168.7906200909</v>
      </c>
      <c r="S19" s="268">
        <f>Opex!S115</f>
        <v>2754830.3352231123</v>
      </c>
      <c r="T19" s="268">
        <f>Opex!T115</f>
        <v>2823701.0936036897</v>
      </c>
      <c r="U19" s="268">
        <f>Opex!U115</f>
        <v>2894293.6209437824</v>
      </c>
      <c r="V19" s="268">
        <f>Opex!V115</f>
        <v>2966650.9614673764</v>
      </c>
      <c r="W19" s="268">
        <f>Opex!W115</f>
        <v>3040817.2355040605</v>
      </c>
      <c r="X19" s="268">
        <f>Opex!X115</f>
        <v>3116837.6663916619</v>
      </c>
      <c r="Y19" s="377">
        <f>Opex!Y115</f>
        <v>18522718.498517524</v>
      </c>
    </row>
    <row r="20" spans="1:25">
      <c r="A20" s="100"/>
      <c r="B20" s="100"/>
      <c r="C20" s="100"/>
      <c r="D20" s="100"/>
      <c r="E20" s="100"/>
      <c r="F20" s="100"/>
      <c r="G20" s="100" t="s">
        <v>119</v>
      </c>
      <c r="H20" s="106"/>
      <c r="I20" s="159"/>
      <c r="J20" s="100"/>
      <c r="K20" s="268"/>
      <c r="L20" s="268"/>
      <c r="M20" s="268"/>
      <c r="N20" s="268">
        <f>Opex!N116</f>
        <v>424403.8493383</v>
      </c>
      <c r="O20" s="268">
        <f>Opex!O116</f>
        <v>416327.09430116485</v>
      </c>
      <c r="P20" s="268">
        <f>Opex!P116</f>
        <v>730380.25565020728</v>
      </c>
      <c r="Q20" s="268">
        <f>Opex!Q116</f>
        <v>706466.85310225864</v>
      </c>
      <c r="R20" s="268">
        <f>Opex!R116</f>
        <v>721302.65701740608</v>
      </c>
      <c r="S20" s="268">
        <f>Opex!S116</f>
        <v>736450.01281477138</v>
      </c>
      <c r="T20" s="268">
        <f>Opex!T116</f>
        <v>754861.26313514065</v>
      </c>
      <c r="U20" s="268">
        <f>Opex!U116</f>
        <v>773732.79471351916</v>
      </c>
      <c r="V20" s="268">
        <f>Opex!V116</f>
        <v>793076.11458135711</v>
      </c>
      <c r="W20" s="268">
        <f>Opex!W116</f>
        <v>812903.01744589105</v>
      </c>
      <c r="X20" s="268">
        <f>Opex!X116</f>
        <v>833225.59288203798</v>
      </c>
      <c r="Y20" s="377">
        <f>Opex!Y116</f>
        <v>4951686.534442368</v>
      </c>
    </row>
    <row r="21" spans="1:25">
      <c r="A21" s="100"/>
      <c r="B21" s="100"/>
      <c r="C21" s="100"/>
      <c r="D21" s="100"/>
      <c r="E21" s="100"/>
      <c r="F21" s="100"/>
      <c r="G21" s="100" t="s">
        <v>118</v>
      </c>
      <c r="H21" s="106"/>
      <c r="I21" s="159"/>
      <c r="J21" s="100"/>
      <c r="K21" s="268"/>
      <c r="L21" s="268"/>
      <c r="M21" s="268"/>
      <c r="N21" s="268">
        <f>Opex!N117</f>
        <v>15246.020399302439</v>
      </c>
      <c r="O21" s="268">
        <f>Opex!O117</f>
        <v>17039.987622095436</v>
      </c>
      <c r="P21" s="268">
        <f>Opex!P117</f>
        <v>19205.976257750594</v>
      </c>
      <c r="Q21" s="268">
        <f>Opex!Q117</f>
        <v>19784.97338433862</v>
      </c>
      <c r="R21" s="268">
        <f>Opex!R117</f>
        <v>20200.457825409725</v>
      </c>
      <c r="S21" s="268">
        <f>Opex!S117</f>
        <v>20624.667439743331</v>
      </c>
      <c r="T21" s="268">
        <f>Opex!T117</f>
        <v>21140.284125736911</v>
      </c>
      <c r="U21" s="268">
        <f>Opex!U117</f>
        <v>21668.791228880331</v>
      </c>
      <c r="V21" s="268">
        <f>Opex!V117</f>
        <v>22210.511009602338</v>
      </c>
      <c r="W21" s="268">
        <f>Opex!W117</f>
        <v>22765.773784842393</v>
      </c>
      <c r="X21" s="268">
        <f>Opex!X117</f>
        <v>23334.918129463451</v>
      </c>
      <c r="Y21" s="377">
        <f>Opex!Y117</f>
        <v>138674.56889353797</v>
      </c>
    </row>
    <row r="22" spans="1:25">
      <c r="A22" s="100"/>
      <c r="B22" s="100"/>
      <c r="C22" s="100"/>
      <c r="D22" s="100"/>
      <c r="E22" s="100"/>
      <c r="F22" s="100"/>
      <c r="G22" s="100" t="s">
        <v>117</v>
      </c>
      <c r="H22" s="106"/>
      <c r="I22" s="159"/>
      <c r="J22" s="100"/>
      <c r="K22" s="268"/>
      <c r="L22" s="268"/>
      <c r="M22" s="268"/>
      <c r="N22" s="268">
        <f>Opex!N118</f>
        <v>72337.235019534317</v>
      </c>
      <c r="O22" s="268">
        <f>Opex!O118</f>
        <v>91327.698390607839</v>
      </c>
      <c r="P22" s="268">
        <f>Opex!P118</f>
        <v>98622.066700164636</v>
      </c>
      <c r="Q22" s="268">
        <f>Opex!Q118</f>
        <v>101580.72870116956</v>
      </c>
      <c r="R22" s="268">
        <f>Opex!R118</f>
        <v>103713.92400389414</v>
      </c>
      <c r="S22" s="268">
        <f>Opex!S118</f>
        <v>105891.91640797591</v>
      </c>
      <c r="T22" s="268">
        <f>Opex!T118</f>
        <v>108539.21431817528</v>
      </c>
      <c r="U22" s="268">
        <f>Opex!U118</f>
        <v>111252.69467612966</v>
      </c>
      <c r="V22" s="268">
        <f>Opex!V118</f>
        <v>114034.01204303288</v>
      </c>
      <c r="W22" s="268">
        <f>Opex!W118</f>
        <v>116884.86234410871</v>
      </c>
      <c r="X22" s="268">
        <f>Opex!X118</f>
        <v>119806.98390271141</v>
      </c>
      <c r="Y22" s="377">
        <f>Opex!Y118</f>
        <v>711988.00659882871</v>
      </c>
    </row>
    <row r="23" spans="1:25">
      <c r="A23" s="100"/>
      <c r="B23" s="100"/>
      <c r="C23" s="100"/>
      <c r="D23" s="100"/>
      <c r="E23" s="100"/>
      <c r="F23" s="100"/>
      <c r="G23" s="100" t="s">
        <v>116</v>
      </c>
      <c r="H23" s="106"/>
      <c r="I23" s="159"/>
      <c r="J23" s="100"/>
      <c r="K23" s="268"/>
      <c r="L23" s="268"/>
      <c r="M23" s="268"/>
      <c r="N23" s="268">
        <f>Opex!N119</f>
        <v>64327.044187257547</v>
      </c>
      <c r="O23" s="268">
        <f>Opex!O119</f>
        <v>70862.104979843076</v>
      </c>
      <c r="P23" s="268">
        <f>Opex!P119</f>
        <v>74405.210228835233</v>
      </c>
      <c r="Q23" s="268">
        <f>Opex!Q119</f>
        <v>62378.336300311865</v>
      </c>
      <c r="R23" s="268">
        <f>Opex!R119</f>
        <v>63688.281362618414</v>
      </c>
      <c r="S23" s="268">
        <f>Opex!S119</f>
        <v>65025.735271233396</v>
      </c>
      <c r="T23" s="268">
        <f>Opex!T119</f>
        <v>66651.378653014224</v>
      </c>
      <c r="U23" s="268">
        <f>Opex!U119</f>
        <v>68317.663119339573</v>
      </c>
      <c r="V23" s="268">
        <f>Opex!V119</f>
        <v>70025.604697323055</v>
      </c>
      <c r="W23" s="268">
        <f>Opex!W119</f>
        <v>71776.244814756123</v>
      </c>
      <c r="X23" s="268">
        <f>Opex!X119</f>
        <v>73570.650935125013</v>
      </c>
      <c r="Y23" s="377">
        <f>Opex!Y119</f>
        <v>437215.08877991588</v>
      </c>
    </row>
    <row r="24" spans="1:25">
      <c r="A24" s="100"/>
      <c r="B24" s="100"/>
      <c r="C24" s="100"/>
      <c r="D24" s="100"/>
      <c r="E24" s="100"/>
      <c r="F24" s="100"/>
      <c r="G24" s="100" t="s">
        <v>115</v>
      </c>
      <c r="H24" s="106"/>
      <c r="I24" s="159"/>
      <c r="J24" s="100"/>
      <c r="K24" s="268"/>
      <c r="L24" s="268"/>
      <c r="M24" s="268"/>
      <c r="N24" s="268">
        <f>Opex!N120</f>
        <v>609043.0136889948</v>
      </c>
      <c r="O24" s="268">
        <f>Opex!O120</f>
        <v>559446.21101795544</v>
      </c>
      <c r="P24" s="268">
        <f>Opex!P120</f>
        <v>395400.64722614712</v>
      </c>
      <c r="Q24" s="268">
        <f>Opex!Q120</f>
        <v>370541.90596278256</v>
      </c>
      <c r="R24" s="268">
        <f>Opex!R120</f>
        <v>378323.28598800104</v>
      </c>
      <c r="S24" s="268">
        <f>Opex!S120</f>
        <v>386268.07499374892</v>
      </c>
      <c r="T24" s="268">
        <f>Opex!T120</f>
        <v>395924.77686859271</v>
      </c>
      <c r="U24" s="268">
        <f>Opex!U120</f>
        <v>405822.89629030752</v>
      </c>
      <c r="V24" s="268">
        <f>Opex!V120</f>
        <v>415968.46869756514</v>
      </c>
      <c r="W24" s="268">
        <f>Opex!W120</f>
        <v>426367.68041500414</v>
      </c>
      <c r="X24" s="268">
        <f>Opex!X120</f>
        <v>437026.87242537917</v>
      </c>
      <c r="Y24" s="377">
        <f>Opex!Y120</f>
        <v>2597159.8782666987</v>
      </c>
    </row>
    <row r="25" spans="1: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363"/>
    </row>
    <row r="26" spans="1:25">
      <c r="A26" s="100"/>
      <c r="B26" s="100"/>
      <c r="C26" s="100"/>
      <c r="D26" s="100"/>
      <c r="E26" s="100"/>
      <c r="F26" s="100"/>
      <c r="G26" s="155" t="s">
        <v>114</v>
      </c>
      <c r="H26" s="157"/>
      <c r="I26" s="156"/>
      <c r="J26" s="155"/>
      <c r="K26" s="154">
        <f t="shared" ref="K26:S26" si="2">SUM(K16:K25)</f>
        <v>0</v>
      </c>
      <c r="L26" s="154">
        <f t="shared" si="2"/>
        <v>0</v>
      </c>
      <c r="M26" s="154">
        <f t="shared" si="2"/>
        <v>0</v>
      </c>
      <c r="N26" s="154">
        <f t="shared" si="2"/>
        <v>10666065.716747653</v>
      </c>
      <c r="O26" s="154">
        <f t="shared" si="2"/>
        <v>10496564.500647526</v>
      </c>
      <c r="P26" s="154">
        <f t="shared" si="2"/>
        <v>11336904.061747536</v>
      </c>
      <c r="Q26" s="154">
        <f t="shared" si="2"/>
        <v>11522500.641193254</v>
      </c>
      <c r="R26" s="154">
        <f t="shared" si="2"/>
        <v>11776914.167763583</v>
      </c>
      <c r="S26" s="154">
        <f t="shared" si="2"/>
        <v>12034088.306152927</v>
      </c>
      <c r="T26" s="154">
        <f t="shared" ref="T26:Y26" si="3">SUM(T16:T25)</f>
        <v>12368810.590311857</v>
      </c>
      <c r="U26" s="154">
        <f t="shared" si="3"/>
        <v>12685117.148069082</v>
      </c>
      <c r="V26" s="154">
        <f t="shared" si="3"/>
        <v>13011174.259597903</v>
      </c>
      <c r="W26" s="154">
        <f t="shared" si="3"/>
        <v>13341344.194913812</v>
      </c>
      <c r="X26" s="154">
        <f t="shared" si="3"/>
        <v>13679781.631388716</v>
      </c>
      <c r="Y26" s="378">
        <f t="shared" si="3"/>
        <v>81361258.844732717</v>
      </c>
    </row>
    <row r="27" spans="1:25">
      <c r="A27" s="100"/>
      <c r="B27" s="100"/>
      <c r="C27" s="100"/>
      <c r="D27" s="100"/>
      <c r="E27" s="100"/>
      <c r="F27" s="100"/>
      <c r="G27" s="153"/>
      <c r="H27" s="100"/>
      <c r="I27" s="106"/>
      <c r="J27" s="100"/>
      <c r="K27" s="152"/>
      <c r="L27" s="152"/>
      <c r="M27" s="100"/>
      <c r="N27" s="100"/>
      <c r="O27" s="152"/>
      <c r="P27" s="152"/>
      <c r="Q27" s="152"/>
      <c r="R27" s="100"/>
      <c r="S27" s="100"/>
      <c r="T27" s="100"/>
      <c r="U27" s="100"/>
      <c r="V27" s="100"/>
      <c r="W27" s="100"/>
      <c r="X27" s="100"/>
      <c r="Y27" s="352"/>
    </row>
    <row r="28" spans="1:25" s="10" customFormat="1">
      <c r="A28" s="118"/>
      <c r="B28" s="118"/>
      <c r="C28" s="118"/>
      <c r="D28" s="118"/>
      <c r="E28" s="118"/>
      <c r="F28" s="118"/>
      <c r="G28" s="224" t="s">
        <v>113</v>
      </c>
      <c r="H28" s="118"/>
      <c r="I28" s="271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379"/>
    </row>
    <row r="29" spans="1:25" s="10" customFormat="1">
      <c r="A29" s="118"/>
      <c r="B29" s="118"/>
      <c r="C29" s="118"/>
      <c r="D29" s="118"/>
      <c r="E29" s="118"/>
      <c r="F29" s="118"/>
      <c r="G29" s="118"/>
      <c r="H29" s="118"/>
      <c r="I29" s="271"/>
      <c r="J29" s="118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380"/>
    </row>
    <row r="30" spans="1:25">
      <c r="A30" s="100"/>
      <c r="B30" s="100"/>
      <c r="C30" s="100"/>
      <c r="D30" s="100"/>
      <c r="E30" s="100"/>
      <c r="F30" s="100"/>
      <c r="G30" s="100" t="s">
        <v>112</v>
      </c>
      <c r="H30" s="100"/>
      <c r="I30" s="106"/>
      <c r="J30" s="100"/>
      <c r="K30" s="269"/>
      <c r="L30" s="269"/>
      <c r="M30" s="192">
        <f>'Asset base'!M505+'Asset base'!M514+'Asset base'!M523+'Asset base'!M532+'Asset base'!M541+'Asset base'!M550+'Asset base'!M559+'Asset base'!M568+'Asset base'!M577+'Asset base'!M586</f>
        <v>0</v>
      </c>
      <c r="N30" s="192">
        <f>'Asset base'!N505+'Asset base'!N514+'Asset base'!N523+'Asset base'!N532+'Asset base'!N541+'Asset base'!N550+'Asset base'!N559+'Asset base'!N568+'Asset base'!N577+'Asset base'!N586</f>
        <v>0</v>
      </c>
      <c r="O30" s="192">
        <f>'Asset base'!O505+'Asset base'!O514+'Asset base'!O523+'Asset base'!O532+'Asset base'!O541+'Asset base'!O550+'Asset base'!O559+'Asset base'!O568+'Asset base'!O577+'Asset base'!O586</f>
        <v>3852654.7659091451</v>
      </c>
      <c r="P30" s="192">
        <f>'Asset base'!P505+'Asset base'!P514+'Asset base'!P523+'Asset base'!P532+'Asset base'!P541+'Asset base'!P550+'Asset base'!P559+'Asset base'!P568+'Asset base'!P577+'Asset base'!P586</f>
        <v>4487815.844126204</v>
      </c>
      <c r="Q30" s="192">
        <f>'Asset base'!Q505+'Asset base'!Q514+'Asset base'!Q523+'Asset base'!Q532+'Asset base'!Q541+'Asset base'!Q550+'Asset base'!Q559+'Asset base'!Q568+'Asset base'!Q577+'Asset base'!Q586</f>
        <v>4699926.0335926283</v>
      </c>
      <c r="R30" s="192">
        <f>'Asset base'!R505+'Asset base'!R514+'Asset base'!R523+'Asset base'!R532+'Asset base'!R541+'Asset base'!R550+'Asset base'!R559+'Asset base'!R568+'Asset base'!R577+'Asset base'!R586</f>
        <v>4813045.3744922439</v>
      </c>
      <c r="S30" s="192">
        <f>'Asset base'!S505+'Asset base'!S514+'Asset base'!S523+'Asset base'!S532+'Asset base'!S541+'Asset base'!S550+'Asset base'!S559+'Asset base'!S568+'Asset base'!S577+'Asset base'!S586</f>
        <v>4916936.3474122193</v>
      </c>
      <c r="T30" s="192">
        <f>'Asset base'!T505+'Asset base'!T514+'Asset base'!T523+'Asset base'!T532+'Asset base'!T541+'Asset base'!T550+'Asset base'!T559+'Asset base'!T568+'Asset base'!T577+'Asset base'!T586</f>
        <v>6012153.5293893684</v>
      </c>
      <c r="U30" s="192">
        <f>'Asset base'!U505+'Asset base'!U514+'Asset base'!U523+'Asset base'!U532+'Asset base'!U541+'Asset base'!U550+'Asset base'!U559+'Asset base'!U568+'Asset base'!U577+'Asset base'!U586</f>
        <v>6018039.7323092334</v>
      </c>
      <c r="V30" s="192">
        <f>'Asset base'!V505+'Asset base'!V514+'Asset base'!V523+'Asset base'!V532+'Asset base'!V541+'Asset base'!V550+'Asset base'!V559+'Asset base'!V568+'Asset base'!V577+'Asset base'!V586</f>
        <v>6024148.2014585268</v>
      </c>
      <c r="W30" s="192">
        <f>'Asset base'!W505+'Asset base'!W514+'Asset base'!W523+'Asset base'!W532+'Asset base'!W541+'Asset base'!W550+'Asset base'!W559+'Asset base'!W568+'Asset base'!W577+'Asset base'!W586</f>
        <v>6030418.8560985941</v>
      </c>
      <c r="X30" s="192">
        <f>'Asset base'!X505+'Asset base'!X514+'Asset base'!X523+'Asset base'!X532+'Asset base'!X541+'Asset base'!X550+'Asset base'!X559+'Asset base'!X568+'Asset base'!X577+'Asset base'!X586</f>
        <v>6036860.1191125633</v>
      </c>
      <c r="Y30" s="387">
        <f>Y11</f>
        <v>32714581.334986206</v>
      </c>
    </row>
    <row r="31" spans="1:25">
      <c r="A31" s="100"/>
      <c r="B31" s="100"/>
      <c r="C31" s="100"/>
      <c r="D31" s="100"/>
      <c r="E31" s="100"/>
      <c r="F31" s="100"/>
      <c r="G31" s="149"/>
      <c r="H31" s="102"/>
      <c r="I31" s="106"/>
      <c r="J31" s="100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381"/>
    </row>
    <row r="32" spans="1:25">
      <c r="A32" s="100"/>
      <c r="B32" s="100"/>
      <c r="C32" s="100"/>
      <c r="D32" s="100"/>
      <c r="E32" s="100"/>
      <c r="F32" s="100"/>
      <c r="G32" s="149" t="s">
        <v>78</v>
      </c>
      <c r="H32" s="100"/>
      <c r="I32" s="100"/>
      <c r="J32" s="100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377"/>
    </row>
    <row r="33" spans="1:25">
      <c r="A33" s="100"/>
      <c r="B33" s="100"/>
      <c r="C33" s="100"/>
      <c r="D33" s="100"/>
      <c r="E33" s="100"/>
      <c r="F33" s="100"/>
      <c r="G33" s="100" t="s">
        <v>38</v>
      </c>
      <c r="H33" s="100"/>
      <c r="I33" s="100"/>
      <c r="J33" s="100"/>
      <c r="K33" s="268">
        <f>'Asset base'!K504+'Asset base'!K506</f>
        <v>0</v>
      </c>
      <c r="L33" s="268">
        <f>'Asset base'!L504+'Asset base'!L506</f>
        <v>0</v>
      </c>
      <c r="M33" s="268">
        <f>'Asset base'!M504+'Asset base'!M506</f>
        <v>0</v>
      </c>
      <c r="N33" s="268">
        <f>'Asset base'!N504+'Asset base'!N506</f>
        <v>0</v>
      </c>
      <c r="O33" s="268">
        <f>'Asset base'!O504+'Asset base'!O506</f>
        <v>0</v>
      </c>
      <c r="P33" s="268">
        <f>'Asset base'!P504+'Asset base'!P506</f>
        <v>0</v>
      </c>
      <c r="Q33" s="268">
        <f>'Asset base'!Q504+'Asset base'!Q506</f>
        <v>0</v>
      </c>
      <c r="R33" s="268">
        <f>'Asset base'!R504+'Asset base'!R506</f>
        <v>0</v>
      </c>
      <c r="S33" s="268">
        <f>'Asset base'!S504+'Asset base'!S506</f>
        <v>0</v>
      </c>
      <c r="T33" s="268">
        <f>'Asset base'!T504+'Asset base'!T506</f>
        <v>0</v>
      </c>
      <c r="U33" s="268">
        <f>'Asset base'!U504+'Asset base'!U506</f>
        <v>0</v>
      </c>
      <c r="V33" s="268">
        <f>'Asset base'!V504+'Asset base'!V506</f>
        <v>0</v>
      </c>
      <c r="W33" s="268">
        <f>'Asset base'!W504+'Asset base'!W506</f>
        <v>0</v>
      </c>
      <c r="X33" s="268">
        <f>'Asset base'!X504+'Asset base'!X506</f>
        <v>0</v>
      </c>
      <c r="Y33" s="377"/>
    </row>
    <row r="34" spans="1:25">
      <c r="A34" s="100"/>
      <c r="B34" s="100"/>
      <c r="C34" s="100"/>
      <c r="D34" s="100"/>
      <c r="E34" s="100"/>
      <c r="F34" s="100"/>
      <c r="G34" s="100" t="s">
        <v>37</v>
      </c>
      <c r="H34" s="100"/>
      <c r="I34" s="100"/>
      <c r="J34" s="100"/>
      <c r="K34" s="268">
        <f>'Asset base'!K513+'Asset base'!K515</f>
        <v>0</v>
      </c>
      <c r="L34" s="268">
        <f>'Asset base'!L513+'Asset base'!L515</f>
        <v>0</v>
      </c>
      <c r="M34" s="268">
        <f>'Asset base'!M513+'Asset base'!M515</f>
        <v>0</v>
      </c>
      <c r="N34" s="268">
        <f>'Asset base'!N513+'Asset base'!N515</f>
        <v>0</v>
      </c>
      <c r="O34" s="268">
        <f>'Asset base'!O513+'Asset base'!O515</f>
        <v>153221.65009612418</v>
      </c>
      <c r="P34" s="268">
        <f>'Asset base'!P513+'Asset base'!P515</f>
        <v>156306.9805849416</v>
      </c>
      <c r="Q34" s="268">
        <f>'Asset base'!Q513+'Asset base'!Q515</f>
        <v>156288.10377982975</v>
      </c>
      <c r="R34" s="268">
        <f>'Asset base'!R513+'Asset base'!R515</f>
        <v>156268.7554000745</v>
      </c>
      <c r="S34" s="268">
        <f>'Asset base'!S513+'Asset base'!S515</f>
        <v>156244.31311796952</v>
      </c>
      <c r="T34" s="268">
        <f>'Asset base'!T513+'Asset base'!T515</f>
        <v>156782.1576475148</v>
      </c>
      <c r="U34" s="268">
        <f>'Asset base'!U513+'Asset base'!U515</f>
        <v>156738.30609191151</v>
      </c>
      <c r="V34" s="268">
        <f>'Asset base'!V513+'Asset base'!V515</f>
        <v>156666.58652754623</v>
      </c>
      <c r="W34" s="268">
        <f>'Asset base'!W513+'Asset base'!W515</f>
        <v>156556.03155576941</v>
      </c>
      <c r="X34" s="268">
        <f>'Asset base'!X513+'Asset base'!X515</f>
        <v>156363.4279567562</v>
      </c>
      <c r="Y34" s="377"/>
    </row>
    <row r="35" spans="1:25">
      <c r="A35" s="100"/>
      <c r="B35" s="100"/>
      <c r="C35" s="100"/>
      <c r="D35" s="100"/>
      <c r="E35" s="100"/>
      <c r="F35" s="100"/>
      <c r="G35" s="100" t="s">
        <v>36</v>
      </c>
      <c r="H35" s="100"/>
      <c r="I35" s="100"/>
      <c r="J35" s="100"/>
      <c r="K35" s="268">
        <f>'Asset base'!K522+'Asset base'!K524</f>
        <v>0</v>
      </c>
      <c r="L35" s="268">
        <f>'Asset base'!L522+'Asset base'!L524</f>
        <v>0</v>
      </c>
      <c r="M35" s="268">
        <f>'Asset base'!M522+'Asset base'!M524</f>
        <v>0</v>
      </c>
      <c r="N35" s="268">
        <f>'Asset base'!N522+'Asset base'!N524</f>
        <v>0</v>
      </c>
      <c r="O35" s="268">
        <f>'Asset base'!O522+'Asset base'!O524</f>
        <v>220106.24646596762</v>
      </c>
      <c r="P35" s="268">
        <f>'Asset base'!P522+'Asset base'!P524</f>
        <v>274219.14365862659</v>
      </c>
      <c r="Q35" s="268">
        <f>'Asset base'!Q522+'Asset base'!Q524</f>
        <v>348739.45963803038</v>
      </c>
      <c r="R35" s="268">
        <f>'Asset base'!R522+'Asset base'!R524</f>
        <v>410356.74472708721</v>
      </c>
      <c r="S35" s="268">
        <f>'Asset base'!S522+'Asset base'!S524</f>
        <v>507627.94160303118</v>
      </c>
      <c r="T35" s="268">
        <f>'Asset base'!T522+'Asset base'!T524</f>
        <v>277513.53456996277</v>
      </c>
      <c r="U35" s="268">
        <f>'Asset base'!U522+'Asset base'!U524</f>
        <v>203696.00114987334</v>
      </c>
      <c r="V35" s="268">
        <f>'Asset base'!V522+'Asset base'!V524</f>
        <v>130502.1982228359</v>
      </c>
      <c r="W35" s="268">
        <f>'Asset base'!W522+'Asset base'!W524</f>
        <v>78415.628381500428</v>
      </c>
      <c r="X35" s="268">
        <f>'Asset base'!X522+'Asset base'!X524</f>
        <v>41674.766948641169</v>
      </c>
      <c r="Y35" s="377"/>
    </row>
    <row r="36" spans="1:25">
      <c r="A36" s="100"/>
      <c r="B36" s="100"/>
      <c r="C36" s="100"/>
      <c r="D36" s="100"/>
      <c r="E36" s="100"/>
      <c r="F36" s="100"/>
      <c r="G36" s="100" t="s">
        <v>35</v>
      </c>
      <c r="H36" s="100"/>
      <c r="I36" s="100"/>
      <c r="J36" s="100"/>
      <c r="K36" s="268">
        <f>'Asset base'!K531+'Asset base'!K533</f>
        <v>0</v>
      </c>
      <c r="L36" s="268">
        <f>'Asset base'!L531+'Asset base'!L533</f>
        <v>0</v>
      </c>
      <c r="M36" s="268">
        <f>'Asset base'!M531+'Asset base'!M533</f>
        <v>0</v>
      </c>
      <c r="N36" s="268">
        <f>'Asset base'!N531+'Asset base'!N533</f>
        <v>0</v>
      </c>
      <c r="O36" s="268">
        <f>'Asset base'!O531+'Asset base'!O533</f>
        <v>327883.8</v>
      </c>
      <c r="P36" s="268">
        <f>'Asset base'!P531+'Asset base'!P533</f>
        <v>327883.8</v>
      </c>
      <c r="Q36" s="268">
        <f>'Asset base'!Q531+'Asset base'!Q533</f>
        <v>327883.8</v>
      </c>
      <c r="R36" s="268">
        <f>'Asset base'!R531+'Asset base'!R533</f>
        <v>327883.8</v>
      </c>
      <c r="S36" s="268">
        <f>'Asset base'!S531+'Asset base'!S533</f>
        <v>327883.8</v>
      </c>
      <c r="T36" s="268">
        <f>'Asset base'!T531+'Asset base'!T533</f>
        <v>327883.8</v>
      </c>
      <c r="U36" s="268">
        <f>'Asset base'!U531+'Asset base'!U533</f>
        <v>327883.8</v>
      </c>
      <c r="V36" s="268">
        <f>'Asset base'!V531+'Asset base'!V533</f>
        <v>327883.8</v>
      </c>
      <c r="W36" s="268">
        <f>'Asset base'!W531+'Asset base'!W533</f>
        <v>327883.8</v>
      </c>
      <c r="X36" s="268">
        <f>'Asset base'!X531+'Asset base'!X533</f>
        <v>327883.8</v>
      </c>
      <c r="Y36" s="377"/>
    </row>
    <row r="37" spans="1:25">
      <c r="A37" s="100"/>
      <c r="B37" s="100"/>
      <c r="C37" s="100"/>
      <c r="D37" s="100"/>
      <c r="E37" s="100"/>
      <c r="F37" s="100"/>
      <c r="G37" s="100" t="s">
        <v>34</v>
      </c>
      <c r="H37" s="100"/>
      <c r="I37" s="100"/>
      <c r="J37" s="100"/>
      <c r="K37" s="268">
        <f>'Asset base'!K540+'Asset base'!K542</f>
        <v>0</v>
      </c>
      <c r="L37" s="268">
        <f>'Asset base'!L540+'Asset base'!L542</f>
        <v>0</v>
      </c>
      <c r="M37" s="268">
        <f>'Asset base'!M540+'Asset base'!M542</f>
        <v>0</v>
      </c>
      <c r="N37" s="268">
        <f>'Asset base'!N540+'Asset base'!N542</f>
        <v>0</v>
      </c>
      <c r="O37" s="268">
        <f>'Asset base'!O540+'Asset base'!O542</f>
        <v>96196.440216756106</v>
      </c>
      <c r="P37" s="268">
        <f>'Asset base'!P540+'Asset base'!P542</f>
        <v>121555.89627425678</v>
      </c>
      <c r="Q37" s="268">
        <f>'Asset base'!Q540+'Asset base'!Q542</f>
        <v>149968.35330306401</v>
      </c>
      <c r="R37" s="268">
        <f>'Asset base'!R540+'Asset base'!R542</f>
        <v>180284.1860726559</v>
      </c>
      <c r="S37" s="268">
        <f>'Asset base'!S540+'Asset base'!S542</f>
        <v>212536.90709824522</v>
      </c>
      <c r="T37" s="268">
        <f>'Asset base'!T540+'Asset base'!T542</f>
        <v>212536.90709824522</v>
      </c>
      <c r="U37" s="268">
        <f>'Asset base'!U540+'Asset base'!U542</f>
        <v>212536.90709824522</v>
      </c>
      <c r="V37" s="268">
        <f>'Asset base'!V540+'Asset base'!V542</f>
        <v>212536.90709824522</v>
      </c>
      <c r="W37" s="268">
        <f>'Asset base'!W540+'Asset base'!W542</f>
        <v>212536.90709824522</v>
      </c>
      <c r="X37" s="268">
        <f>'Asset base'!X540+'Asset base'!X542</f>
        <v>212536.90709824514</v>
      </c>
      <c r="Y37" s="377"/>
    </row>
    <row r="38" spans="1:25">
      <c r="A38" s="100"/>
      <c r="B38" s="100"/>
      <c r="C38" s="100"/>
      <c r="D38" s="100"/>
      <c r="E38" s="100"/>
      <c r="F38" s="100"/>
      <c r="G38" s="100" t="s">
        <v>33</v>
      </c>
      <c r="H38" s="100"/>
      <c r="I38" s="100"/>
      <c r="J38" s="100"/>
      <c r="K38" s="268">
        <f>'Asset base'!K549+'Asset base'!K551</f>
        <v>0</v>
      </c>
      <c r="L38" s="268">
        <f>'Asset base'!L549+'Asset base'!L551</f>
        <v>0</v>
      </c>
      <c r="M38" s="268">
        <f>'Asset base'!M549+'Asset base'!M551</f>
        <v>0</v>
      </c>
      <c r="N38" s="268">
        <f>'Asset base'!N549+'Asset base'!N551</f>
        <v>0</v>
      </c>
      <c r="O38" s="268">
        <f>'Asset base'!O549+'Asset base'!O551</f>
        <v>3741899.8472921494</v>
      </c>
      <c r="P38" s="268">
        <f>'Asset base'!P549+'Asset base'!P551</f>
        <v>4179696.2334356536</v>
      </c>
      <c r="Q38" s="268">
        <f>'Asset base'!Q549+'Asset base'!Q551</f>
        <v>4369702.7164174942</v>
      </c>
      <c r="R38" s="268">
        <f>'Asset base'!R549+'Asset base'!R551</f>
        <v>4546552.342641891</v>
      </c>
      <c r="S38" s="268">
        <f>'Asset base'!S549+'Asset base'!S551</f>
        <v>4767126.7227182118</v>
      </c>
      <c r="T38" s="268">
        <f>'Asset base'!T549+'Asset base'!T551</f>
        <v>4791203.739783504</v>
      </c>
      <c r="U38" s="268">
        <f>'Asset base'!U549+'Asset base'!U551</f>
        <v>4788621.9397913963</v>
      </c>
      <c r="V38" s="268">
        <f>'Asset base'!V549+'Asset base'!V551</f>
        <v>4788608.1827396201</v>
      </c>
      <c r="W38" s="268">
        <f>'Asset base'!W549+'Asset base'!W551</f>
        <v>4788592.8187561436</v>
      </c>
      <c r="X38" s="268">
        <f>'Asset base'!X549+'Asset base'!X551</f>
        <v>4788576.8118063724</v>
      </c>
      <c r="Y38" s="377"/>
    </row>
    <row r="39" spans="1:25">
      <c r="A39" s="100"/>
      <c r="B39" s="100"/>
      <c r="C39" s="100"/>
      <c r="D39" s="100"/>
      <c r="E39" s="100"/>
      <c r="F39" s="100"/>
      <c r="G39" s="100" t="s">
        <v>32</v>
      </c>
      <c r="H39" s="100"/>
      <c r="I39" s="100"/>
      <c r="J39" s="100"/>
      <c r="K39" s="268">
        <f>'Asset base'!K558+'Asset base'!K560</f>
        <v>0</v>
      </c>
      <c r="L39" s="268">
        <f>'Asset base'!L558+'Asset base'!L560</f>
        <v>0</v>
      </c>
      <c r="M39" s="268">
        <f>'Asset base'!M558+'Asset base'!M560</f>
        <v>0</v>
      </c>
      <c r="N39" s="268">
        <f>'Asset base'!N558+'Asset base'!N560</f>
        <v>0</v>
      </c>
      <c r="O39" s="268">
        <f>'Asset base'!O558+'Asset base'!O560</f>
        <v>800512.60897562245</v>
      </c>
      <c r="P39" s="268">
        <f>'Asset base'!P558+'Asset base'!P560</f>
        <v>818952.74623577134</v>
      </c>
      <c r="Q39" s="268">
        <f>'Asset base'!Q558+'Asset base'!Q560</f>
        <v>821149.42778930394</v>
      </c>
      <c r="R39" s="268">
        <f>'Asset base'!R558+'Asset base'!R560</f>
        <v>823407.23273166269</v>
      </c>
      <c r="S39" s="268">
        <f>'Asset base'!S558+'Asset base'!S560</f>
        <v>825711.84595283726</v>
      </c>
      <c r="T39" s="268">
        <f>'Asset base'!T558+'Asset base'!T560</f>
        <v>828719.51516378799</v>
      </c>
      <c r="U39" s="268">
        <f>'Asset base'!U558+'Asset base'!U560</f>
        <v>828340.7204541543</v>
      </c>
      <c r="V39" s="268">
        <f>'Asset base'!V558+'Asset base'!V560</f>
        <v>828047.24658864609</v>
      </c>
      <c r="W39" s="268">
        <f>'Asset base'!W558+'Asset base'!W560</f>
        <v>827619.48522797727</v>
      </c>
      <c r="X39" s="268">
        <f>'Asset base'!X558+'Asset base'!X560</f>
        <v>826939.36017792765</v>
      </c>
      <c r="Y39" s="377"/>
    </row>
    <row r="40" spans="1:25">
      <c r="A40" s="100"/>
      <c r="B40" s="100"/>
      <c r="C40" s="100"/>
      <c r="D40" s="100"/>
      <c r="E40" s="100"/>
      <c r="F40" s="100"/>
      <c r="G40" s="100" t="s">
        <v>31</v>
      </c>
      <c r="H40" s="100"/>
      <c r="I40" s="100"/>
      <c r="J40" s="100"/>
      <c r="K40" s="268">
        <f>'Asset base'!K567+'Asset base'!K569</f>
        <v>0</v>
      </c>
      <c r="L40" s="268">
        <f>'Asset base'!L567+'Asset base'!L569</f>
        <v>0</v>
      </c>
      <c r="M40" s="268">
        <f>'Asset base'!M567+'Asset base'!M569</f>
        <v>0</v>
      </c>
      <c r="N40" s="268">
        <f>'Asset base'!N567+'Asset base'!N569</f>
        <v>0</v>
      </c>
      <c r="O40" s="268">
        <f>'Asset base'!O567+'Asset base'!O569</f>
        <v>0</v>
      </c>
      <c r="P40" s="268">
        <f>'Asset base'!P567+'Asset base'!P569</f>
        <v>0</v>
      </c>
      <c r="Q40" s="268">
        <f>'Asset base'!Q567+'Asset base'!Q569</f>
        <v>0</v>
      </c>
      <c r="R40" s="268">
        <f>'Asset base'!R567+'Asset base'!R569</f>
        <v>0</v>
      </c>
      <c r="S40" s="268">
        <f>'Asset base'!S567+'Asset base'!S569</f>
        <v>0</v>
      </c>
      <c r="T40" s="268">
        <f>'Asset base'!T567+'Asset base'!T569</f>
        <v>0</v>
      </c>
      <c r="U40" s="268">
        <f>'Asset base'!U567+'Asset base'!U569</f>
        <v>0</v>
      </c>
      <c r="V40" s="268">
        <f>'Asset base'!V567+'Asset base'!V569</f>
        <v>0</v>
      </c>
      <c r="W40" s="268">
        <f>'Asset base'!W567+'Asset base'!W569</f>
        <v>0</v>
      </c>
      <c r="X40" s="268">
        <f>'Asset base'!X567+'Asset base'!X569</f>
        <v>0</v>
      </c>
      <c r="Y40" s="377"/>
    </row>
    <row r="41" spans="1:25">
      <c r="A41" s="100"/>
      <c r="B41" s="100"/>
      <c r="C41" s="100"/>
      <c r="D41" s="100"/>
      <c r="E41" s="100"/>
      <c r="F41" s="100"/>
      <c r="G41" s="100" t="s">
        <v>30</v>
      </c>
      <c r="H41" s="100"/>
      <c r="I41" s="100"/>
      <c r="J41" s="100"/>
      <c r="K41" s="268">
        <f>'Asset base'!K576+'Asset base'!K578</f>
        <v>0</v>
      </c>
      <c r="L41" s="268">
        <f>'Asset base'!L576+'Asset base'!L578</f>
        <v>0</v>
      </c>
      <c r="M41" s="268">
        <f>'Asset base'!M576+'Asset base'!M578</f>
        <v>0</v>
      </c>
      <c r="N41" s="268">
        <f>'Asset base'!N576+'Asset base'!N578</f>
        <v>0</v>
      </c>
      <c r="O41" s="268">
        <f>'Asset base'!O576+'Asset base'!O578</f>
        <v>0</v>
      </c>
      <c r="P41" s="268">
        <f>'Asset base'!P576+'Asset base'!P578</f>
        <v>0</v>
      </c>
      <c r="Q41" s="268">
        <f>'Asset base'!Q576+'Asset base'!Q578</f>
        <v>0</v>
      </c>
      <c r="R41" s="268">
        <f>'Asset base'!R576+'Asset base'!R578</f>
        <v>0</v>
      </c>
      <c r="S41" s="268">
        <f>'Asset base'!S576+'Asset base'!S578</f>
        <v>0</v>
      </c>
      <c r="T41" s="268">
        <f>'Asset base'!T576+'Asset base'!T578</f>
        <v>0</v>
      </c>
      <c r="U41" s="268">
        <f>'Asset base'!U576+'Asset base'!U578</f>
        <v>0</v>
      </c>
      <c r="V41" s="268">
        <f>'Asset base'!V576+'Asset base'!V578</f>
        <v>0</v>
      </c>
      <c r="W41" s="268">
        <f>'Asset base'!W576+'Asset base'!W578</f>
        <v>0</v>
      </c>
      <c r="X41" s="268">
        <f>'Asset base'!X576+'Asset base'!X578</f>
        <v>0</v>
      </c>
      <c r="Y41" s="377"/>
    </row>
    <row r="42" spans="1:25">
      <c r="A42" s="100"/>
      <c r="B42" s="100"/>
      <c r="C42" s="100"/>
      <c r="D42" s="100"/>
      <c r="E42" s="100"/>
      <c r="F42" s="100"/>
      <c r="G42" s="100" t="s">
        <v>29</v>
      </c>
      <c r="H42" s="100"/>
      <c r="I42" s="100"/>
      <c r="J42" s="100"/>
      <c r="K42" s="268">
        <f>'Asset base'!K585+'Asset base'!K587</f>
        <v>0</v>
      </c>
      <c r="L42" s="268">
        <f>'Asset base'!L585+'Asset base'!L587</f>
        <v>0</v>
      </c>
      <c r="M42" s="268">
        <f>'Asset base'!M585+'Asset base'!M587</f>
        <v>0</v>
      </c>
      <c r="N42" s="268">
        <f>'Asset base'!N585+'Asset base'!N587</f>
        <v>0</v>
      </c>
      <c r="O42" s="268">
        <f>'Asset base'!O585+'Asset base'!O587</f>
        <v>36764.198525432468</v>
      </c>
      <c r="P42" s="268">
        <f>'Asset base'!P585+'Asset base'!P587</f>
        <v>37408.436979661252</v>
      </c>
      <c r="Q42" s="268">
        <f>'Asset base'!Q585+'Asset base'!Q587</f>
        <v>38033.421408896844</v>
      </c>
      <c r="R42" s="268">
        <f>'Asset base'!R585+'Asset base'!R587</f>
        <v>38560.334257398536</v>
      </c>
      <c r="S42" s="268">
        <f>'Asset base'!S585+'Asset base'!S587</f>
        <v>2047.406270478132</v>
      </c>
      <c r="T42" s="268">
        <f>'Asset base'!T585+'Asset base'!T587</f>
        <v>1403.1678162493488</v>
      </c>
      <c r="U42" s="268">
        <f>'Asset base'!U585+'Asset base'!U587</f>
        <v>778.1833870137516</v>
      </c>
      <c r="V42" s="268">
        <f>'Asset base'!V585+'Asset base'!V587</f>
        <v>426.90815467929053</v>
      </c>
      <c r="W42" s="268">
        <f>'Asset base'!W585+'Asset base'!W587</f>
        <v>175.63761616723053</v>
      </c>
      <c r="X42" s="268">
        <f>'Asset base'!X585+'Asset base'!X587</f>
        <v>175.63761616723053</v>
      </c>
      <c r="Y42" s="377"/>
    </row>
    <row r="43" spans="1:25">
      <c r="A43" s="100"/>
      <c r="B43" s="100"/>
      <c r="C43" s="100"/>
      <c r="D43" s="100"/>
      <c r="E43" s="100"/>
      <c r="F43" s="100"/>
      <c r="G43" s="100" t="s">
        <v>86</v>
      </c>
      <c r="H43" s="100"/>
      <c r="I43" s="100"/>
      <c r="J43" s="100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377"/>
    </row>
    <row r="44" spans="1:25">
      <c r="A44" s="100"/>
      <c r="B44" s="100"/>
      <c r="C44" s="100"/>
      <c r="D44" s="100"/>
      <c r="E44" s="100"/>
      <c r="F44" s="100"/>
      <c r="G44" s="100" t="s">
        <v>85</v>
      </c>
      <c r="H44" s="100"/>
      <c r="I44" s="100"/>
      <c r="J44" s="100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377"/>
    </row>
    <row r="45" spans="1:25">
      <c r="A45" s="100"/>
      <c r="B45" s="100"/>
      <c r="C45" s="100"/>
      <c r="D45" s="100"/>
      <c r="E45" s="100"/>
      <c r="F45" s="100"/>
      <c r="G45" s="100" t="s">
        <v>84</v>
      </c>
      <c r="H45" s="100"/>
      <c r="I45" s="100"/>
      <c r="J45" s="100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377"/>
    </row>
    <row r="46" spans="1:25">
      <c r="A46" s="100"/>
      <c r="B46" s="100"/>
      <c r="C46" s="100"/>
      <c r="D46" s="100"/>
      <c r="E46" s="100"/>
      <c r="F46" s="100"/>
      <c r="G46" s="100"/>
      <c r="H46" s="220"/>
      <c r="I46" s="220"/>
      <c r="J46" s="220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382"/>
    </row>
    <row r="47" spans="1:25">
      <c r="A47" s="100"/>
      <c r="B47" s="100"/>
      <c r="C47" s="100"/>
      <c r="D47" s="100"/>
      <c r="E47" s="100"/>
      <c r="F47" s="100"/>
      <c r="G47" s="200" t="s">
        <v>111</v>
      </c>
      <c r="H47" s="100"/>
      <c r="I47" s="100"/>
      <c r="J47" s="100"/>
      <c r="K47" s="152">
        <f t="shared" ref="K47:S47" si="4">SUM(K34:K46)</f>
        <v>0</v>
      </c>
      <c r="L47" s="152">
        <f t="shared" si="4"/>
        <v>0</v>
      </c>
      <c r="M47" s="152">
        <f t="shared" si="4"/>
        <v>0</v>
      </c>
      <c r="N47" s="152">
        <f t="shared" si="4"/>
        <v>0</v>
      </c>
      <c r="O47" s="152">
        <f t="shared" si="4"/>
        <v>5376584.791572053</v>
      </c>
      <c r="P47" s="152">
        <f t="shared" si="4"/>
        <v>5916023.2371689109</v>
      </c>
      <c r="Q47" s="152">
        <f t="shared" si="4"/>
        <v>6211765.2823366188</v>
      </c>
      <c r="R47" s="152">
        <f t="shared" si="4"/>
        <v>6483313.39583077</v>
      </c>
      <c r="S47" s="152">
        <f t="shared" si="4"/>
        <v>6799178.936760772</v>
      </c>
      <c r="T47" s="152">
        <f>SUM(T34:T46)</f>
        <v>6596042.8220792646</v>
      </c>
      <c r="U47" s="152">
        <f>SUM(U34:U46)</f>
        <v>6518595.8579725949</v>
      </c>
      <c r="V47" s="152">
        <f>SUM(V34:V46)</f>
        <v>6444671.8293315731</v>
      </c>
      <c r="W47" s="152">
        <f>SUM(W34:W46)</f>
        <v>6391780.308635802</v>
      </c>
      <c r="X47" s="152">
        <f>SUM(X34:X46)</f>
        <v>6354150.711604109</v>
      </c>
      <c r="Y47" s="363">
        <f>Y9</f>
        <v>24851947.856868915</v>
      </c>
    </row>
    <row r="48" spans="1:25">
      <c r="A48" s="100"/>
      <c r="B48" s="100"/>
      <c r="C48" s="100"/>
      <c r="D48" s="100"/>
      <c r="E48" s="100"/>
      <c r="F48" s="100"/>
      <c r="G48" s="149"/>
      <c r="H48" s="102"/>
      <c r="I48" s="106"/>
      <c r="J48" s="100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363"/>
    </row>
    <row r="49" spans="1:25">
      <c r="A49" s="100"/>
      <c r="B49" s="100"/>
      <c r="C49" s="100"/>
      <c r="D49" s="100"/>
      <c r="E49" s="100"/>
      <c r="F49" s="100"/>
      <c r="G49" s="100"/>
      <c r="H49" s="102"/>
      <c r="I49" s="106"/>
      <c r="J49" s="100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363"/>
    </row>
    <row r="50" spans="1:25">
      <c r="A50" s="100"/>
      <c r="B50" s="100"/>
      <c r="C50" s="100"/>
      <c r="D50" s="100"/>
      <c r="E50" s="100"/>
      <c r="F50" s="100"/>
      <c r="G50" s="149"/>
      <c r="H50" s="102"/>
      <c r="I50" s="100"/>
      <c r="J50" s="100"/>
      <c r="K50" s="152"/>
      <c r="L50" s="152"/>
      <c r="M50" s="152"/>
      <c r="N50" s="152"/>
      <c r="O50" s="152"/>
      <c r="P50" s="100"/>
      <c r="Q50" s="100"/>
      <c r="R50" s="100"/>
      <c r="S50" s="100"/>
      <c r="T50" s="100"/>
      <c r="U50" s="100"/>
      <c r="V50" s="100"/>
      <c r="W50" s="100"/>
      <c r="X50" s="100"/>
      <c r="Y50" s="352"/>
    </row>
    <row r="51" spans="1:25">
      <c r="A51" s="100"/>
      <c r="B51" s="100"/>
      <c r="C51" s="100"/>
      <c r="D51" s="100"/>
      <c r="E51" s="100"/>
      <c r="F51" s="100"/>
      <c r="G51" s="103"/>
      <c r="H51" s="121"/>
      <c r="I51" s="165"/>
      <c r="J51" s="165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363"/>
    </row>
    <row r="52" spans="1:25" ht="15.75">
      <c r="A52" s="100"/>
      <c r="B52" s="100"/>
      <c r="C52" s="100"/>
      <c r="D52" s="100"/>
      <c r="E52" s="100"/>
      <c r="F52" s="100"/>
      <c r="G52" s="89" t="s">
        <v>110</v>
      </c>
      <c r="H52" s="121"/>
      <c r="I52" s="165"/>
      <c r="J52" s="165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363"/>
    </row>
    <row r="53" spans="1:25">
      <c r="A53" s="100"/>
      <c r="B53" s="100"/>
      <c r="C53" s="100"/>
      <c r="D53" s="100"/>
      <c r="E53" s="100"/>
      <c r="F53" s="100"/>
      <c r="G53" s="100" t="s">
        <v>38</v>
      </c>
      <c r="H53" s="102"/>
      <c r="I53" s="100"/>
      <c r="J53" s="100"/>
      <c r="K53" s="214"/>
      <c r="L53" s="214"/>
      <c r="M53" s="214"/>
      <c r="N53" s="214">
        <f>'Asset base'!N507</f>
        <v>78896231.928000003</v>
      </c>
      <c r="O53" s="214">
        <f>'Asset base'!O507</f>
        <v>80655152.798488006</v>
      </c>
      <c r="P53" s="214">
        <f>'Asset base'!P507</f>
        <v>82348911.007256255</v>
      </c>
      <c r="Q53" s="214">
        <f>'Asset base'!Q507</f>
        <v>84078238.138408631</v>
      </c>
      <c r="R53" s="214">
        <f>'Asset base'!R507</f>
        <v>85843881.139315218</v>
      </c>
      <c r="S53" s="214">
        <f>'Asset base'!S507</f>
        <v>87646602.643240839</v>
      </c>
      <c r="T53" s="214">
        <f>'Asset base'!T507</f>
        <v>89837767.709321856</v>
      </c>
      <c r="U53" s="214">
        <f>'Asset base'!U507</f>
        <v>92083711.902054906</v>
      </c>
      <c r="V53" s="214">
        <f>'Asset base'!V507</f>
        <v>94385804.699606284</v>
      </c>
      <c r="W53" s="214">
        <f>'Asset base'!W507</f>
        <v>96745449.817096442</v>
      </c>
      <c r="X53" s="214">
        <f>'Asset base'!X507</f>
        <v>99164086.062523857</v>
      </c>
      <c r="Y53" s="380">
        <f>'Asset base'!Y507</f>
        <v>101643188.21408695</v>
      </c>
    </row>
    <row r="54" spans="1:25">
      <c r="A54" s="100"/>
      <c r="B54" s="100"/>
      <c r="C54" s="100"/>
      <c r="D54" s="100"/>
      <c r="E54" s="100"/>
      <c r="F54" s="100"/>
      <c r="G54" s="100" t="s">
        <v>37</v>
      </c>
      <c r="H54" s="102"/>
      <c r="I54" s="100"/>
      <c r="J54" s="100"/>
      <c r="K54" s="214"/>
      <c r="L54" s="214"/>
      <c r="M54" s="214"/>
      <c r="N54" s="214">
        <f>'Asset base'!N516</f>
        <v>1532216.5009612418</v>
      </c>
      <c r="O54" s="214">
        <f>'Asset base'!O516</f>
        <v>1411171.3973853036</v>
      </c>
      <c r="P54" s="214">
        <f>'Asset base'!P516</f>
        <v>1284499.0161454533</v>
      </c>
      <c r="Q54" s="214">
        <f>'Asset base'!Q516</f>
        <v>1155185.3917046781</v>
      </c>
      <c r="R54" s="214">
        <f>'Asset base'!R516</f>
        <v>1023175.5295304017</v>
      </c>
      <c r="S54" s="214">
        <f>'Asset base'!S516</f>
        <v>888417.90253257053</v>
      </c>
      <c r="T54" s="214">
        <f>'Asset base'!T516</f>
        <v>753846.19244836993</v>
      </c>
      <c r="U54" s="214">
        <f>'Asset base'!U516</f>
        <v>615954.04116766772</v>
      </c>
      <c r="V54" s="214">
        <f>'Asset base'!V516</f>
        <v>474686.30566931324</v>
      </c>
      <c r="W54" s="214">
        <f>'Asset base'!W516</f>
        <v>329997.43175527663</v>
      </c>
      <c r="X54" s="214">
        <f>'Asset base'!X516</f>
        <v>181883.93959240231</v>
      </c>
      <c r="Y54" s="380">
        <f>'Asset base'!Y516</f>
        <v>183708.86856108296</v>
      </c>
    </row>
    <row r="55" spans="1:25">
      <c r="A55" s="100"/>
      <c r="B55" s="100"/>
      <c r="C55" s="100"/>
      <c r="D55" s="100"/>
      <c r="E55" s="100"/>
      <c r="F55" s="100"/>
      <c r="G55" s="100" t="s">
        <v>36</v>
      </c>
      <c r="H55" s="102"/>
      <c r="I55" s="100"/>
      <c r="J55" s="100"/>
      <c r="K55" s="214"/>
      <c r="L55" s="214"/>
      <c r="M55" s="214"/>
      <c r="N55" s="214">
        <f>'Asset base'!N525</f>
        <v>789283.64138773188</v>
      </c>
      <c r="O55" s="214">
        <f>'Asset base'!O525</f>
        <v>869629.21589343844</v>
      </c>
      <c r="P55" s="214">
        <f>'Asset base'!P525</f>
        <v>844905.24780318304</v>
      </c>
      <c r="Q55" s="214">
        <f>'Asset base'!Q525</f>
        <v>842791.27475608361</v>
      </c>
      <c r="R55" s="214">
        <f>'Asset base'!R525</f>
        <v>688545.1234125304</v>
      </c>
      <c r="S55" s="214">
        <f>'Asset base'!S525</f>
        <v>869445.98871705099</v>
      </c>
      <c r="T55" s="214">
        <f>'Asset base'!T525</f>
        <v>591932.45414708822</v>
      </c>
      <c r="U55" s="214">
        <f>'Asset base'!U525</f>
        <v>388236.45299721486</v>
      </c>
      <c r="V55" s="214">
        <f>'Asset base'!V525</f>
        <v>257734.25477437896</v>
      </c>
      <c r="W55" s="214">
        <f>'Asset base'!W525</f>
        <v>179318.62639287853</v>
      </c>
      <c r="X55" s="214">
        <f>'Asset base'!X525</f>
        <v>137643.85944423737</v>
      </c>
      <c r="Y55" s="380">
        <f>'Asset base'!Y525</f>
        <v>98050.749788718196</v>
      </c>
    </row>
    <row r="56" spans="1:25">
      <c r="A56" s="100"/>
      <c r="B56" s="100"/>
      <c r="C56" s="100"/>
      <c r="D56" s="100"/>
      <c r="E56" s="100"/>
      <c r="F56" s="100"/>
      <c r="G56" s="100" t="s">
        <v>35</v>
      </c>
      <c r="H56" s="102"/>
      <c r="I56" s="100"/>
      <c r="J56" s="100"/>
      <c r="K56" s="214"/>
      <c r="L56" s="214"/>
      <c r="M56" s="214"/>
      <c r="N56" s="214">
        <f>'Asset base'!N534</f>
        <v>3278838</v>
      </c>
      <c r="O56" s="214">
        <f>'Asset base'!O534</f>
        <v>2950954.2</v>
      </c>
      <c r="P56" s="214">
        <f>'Asset base'!P534</f>
        <v>2623070.4000000004</v>
      </c>
      <c r="Q56" s="214">
        <f>'Asset base'!Q534</f>
        <v>2295186.6000000006</v>
      </c>
      <c r="R56" s="214">
        <f>'Asset base'!R534</f>
        <v>1967302.8000000005</v>
      </c>
      <c r="S56" s="214">
        <f>'Asset base'!S534</f>
        <v>1639419.0000000005</v>
      </c>
      <c r="T56" s="214">
        <f>'Asset base'!T534</f>
        <v>1311535.2000000004</v>
      </c>
      <c r="U56" s="214">
        <f>'Asset base'!U534</f>
        <v>983651.40000000037</v>
      </c>
      <c r="V56" s="214">
        <f>'Asset base'!V534</f>
        <v>655767.60000000033</v>
      </c>
      <c r="W56" s="214">
        <f>'Asset base'!W534</f>
        <v>327883.80000000034</v>
      </c>
      <c r="X56" s="214">
        <f>'Asset base'!X534</f>
        <v>0</v>
      </c>
      <c r="Y56" s="380">
        <f>'Asset base'!Y534</f>
        <v>0</v>
      </c>
    </row>
    <row r="57" spans="1:25">
      <c r="A57" s="100"/>
      <c r="B57" s="100"/>
      <c r="C57" s="100"/>
      <c r="D57" s="100"/>
      <c r="E57" s="100"/>
      <c r="F57" s="100"/>
      <c r="G57" s="100" t="s">
        <v>34</v>
      </c>
      <c r="H57" s="102"/>
      <c r="I57" s="100"/>
      <c r="J57" s="100"/>
      <c r="K57" s="214"/>
      <c r="L57" s="214"/>
      <c r="M57" s="214"/>
      <c r="N57" s="214">
        <f>'Asset base'!N543</f>
        <v>714219.18433053279</v>
      </c>
      <c r="O57" s="214">
        <f>'Asset base'!O543</f>
        <v>865767.96195080515</v>
      </c>
      <c r="P57" s="214">
        <f>'Asset base'!P543</f>
        <v>997806.62625155505</v>
      </c>
      <c r="Q57" s="214">
        <f>'Asset base'!Q543</f>
        <v>1131962.8432365633</v>
      </c>
      <c r="R57" s="214">
        <f>'Asset base'!R543</f>
        <v>1254836.984859826</v>
      </c>
      <c r="S57" s="214">
        <f>'Asset base'!S543</f>
        <v>1364827.2880174741</v>
      </c>
      <c r="T57" s="214">
        <f>'Asset base'!T543</f>
        <v>1152290.3809192288</v>
      </c>
      <c r="U57" s="214">
        <f>'Asset base'!U543</f>
        <v>939753.47382098355</v>
      </c>
      <c r="V57" s="214">
        <f>'Asset base'!V543</f>
        <v>727216.56672273832</v>
      </c>
      <c r="W57" s="214">
        <f>'Asset base'!W543</f>
        <v>514679.6596244931</v>
      </c>
      <c r="X57" s="214">
        <f>'Asset base'!X543</f>
        <v>302142.75252624799</v>
      </c>
      <c r="Y57" s="380">
        <f>'Asset base'!Y543</f>
        <v>185802.28564475887</v>
      </c>
    </row>
    <row r="58" spans="1:25">
      <c r="A58" s="100"/>
      <c r="B58" s="100"/>
      <c r="C58" s="100"/>
      <c r="D58" s="100"/>
      <c r="E58" s="100"/>
      <c r="F58" s="100"/>
      <c r="G58" s="100" t="s">
        <v>33</v>
      </c>
      <c r="H58" s="102"/>
      <c r="I58" s="100"/>
      <c r="J58" s="100"/>
      <c r="K58" s="214"/>
      <c r="L58" s="214"/>
      <c r="M58" s="214"/>
      <c r="N58" s="214">
        <f>'Asset base'!N552</f>
        <v>95048211.352828562</v>
      </c>
      <c r="O58" s="214">
        <f>'Asset base'!O552</f>
        <v>124178793.34394582</v>
      </c>
      <c r="P58" s="214">
        <f>'Asset base'!P552</f>
        <v>133264560.066533</v>
      </c>
      <c r="Q58" s="214">
        <f>'Asset base'!Q552</f>
        <v>137615783.54462108</v>
      </c>
      <c r="R58" s="214">
        <f>'Asset base'!R552</f>
        <v>141505376.56897557</v>
      </c>
      <c r="S58" s="214">
        <f>'Asset base'!S552</f>
        <v>146771187.3800571</v>
      </c>
      <c r="T58" s="214">
        <f>'Asset base'!T552</f>
        <v>145649263.32477504</v>
      </c>
      <c r="U58" s="214">
        <f>'Asset base'!U552</f>
        <v>144501872.96810299</v>
      </c>
      <c r="V58" s="214">
        <f>'Asset base'!V552</f>
        <v>143325811.60956594</v>
      </c>
      <c r="W58" s="214">
        <f>'Asset base'!W552</f>
        <v>142120364.08104897</v>
      </c>
      <c r="X58" s="214">
        <f>'Asset base'!X552</f>
        <v>140884796.37126881</v>
      </c>
      <c r="Y58" s="380">
        <f>'Asset base'!Y552</f>
        <v>139627994.39513174</v>
      </c>
    </row>
    <row r="59" spans="1:25">
      <c r="A59" s="100"/>
      <c r="B59" s="100"/>
      <c r="C59" s="100"/>
      <c r="D59" s="100"/>
      <c r="E59" s="100"/>
      <c r="F59" s="100"/>
      <c r="G59" s="100" t="s">
        <v>32</v>
      </c>
      <c r="H59" s="102"/>
      <c r="I59" s="100"/>
      <c r="J59" s="100"/>
      <c r="K59" s="214"/>
      <c r="L59" s="214"/>
      <c r="M59" s="214"/>
      <c r="N59" s="214">
        <f>'Asset base'!N561</f>
        <v>7983090.97578853</v>
      </c>
      <c r="O59" s="214">
        <f>'Asset base'!O561</f>
        <v>7460398.8471429404</v>
      </c>
      <c r="P59" s="214">
        <f>'Asset base'!P561</f>
        <v>6908031.5097142234</v>
      </c>
      <c r="Q59" s="214">
        <f>'Asset base'!Q561</f>
        <v>6343429.8058486227</v>
      </c>
      <c r="R59" s="214">
        <f>'Asset base'!R561</f>
        <v>5767392.8294273308</v>
      </c>
      <c r="S59" s="214">
        <f>'Asset base'!S561</f>
        <v>5179933.2497442327</v>
      </c>
      <c r="T59" s="214">
        <f>'Asset base'!T561</f>
        <v>4480712.0658240514</v>
      </c>
      <c r="U59" s="214">
        <f>'Asset base'!U561</f>
        <v>3764389.147015498</v>
      </c>
      <c r="V59" s="214">
        <f>'Asset base'!V561</f>
        <v>3030451.6291022394</v>
      </c>
      <c r="W59" s="214">
        <f>'Asset base'!W561</f>
        <v>2278593.4346018177</v>
      </c>
      <c r="X59" s="214">
        <f>'Asset base'!X561</f>
        <v>1508618.9102889355</v>
      </c>
      <c r="Y59" s="380">
        <f>'Asset base'!Y561</f>
        <v>1518952.6883735813</v>
      </c>
    </row>
    <row r="60" spans="1:25">
      <c r="A60" s="100"/>
      <c r="B60" s="100"/>
      <c r="C60" s="100"/>
      <c r="D60" s="100"/>
      <c r="E60" s="100"/>
      <c r="F60" s="100"/>
      <c r="G60" s="100" t="s">
        <v>31</v>
      </c>
      <c r="H60" s="102"/>
      <c r="I60" s="100"/>
      <c r="J60" s="100"/>
      <c r="K60" s="214"/>
      <c r="L60" s="214"/>
      <c r="M60" s="214"/>
      <c r="N60" s="214">
        <f>'Asset base'!N570</f>
        <v>0</v>
      </c>
      <c r="O60" s="214">
        <f>'Asset base'!O570</f>
        <v>0</v>
      </c>
      <c r="P60" s="214">
        <f>'Asset base'!P570</f>
        <v>0</v>
      </c>
      <c r="Q60" s="214">
        <f>'Asset base'!Q570</f>
        <v>0</v>
      </c>
      <c r="R60" s="214">
        <f>'Asset base'!R570</f>
        <v>0</v>
      </c>
      <c r="S60" s="214">
        <f>'Asset base'!S570</f>
        <v>0</v>
      </c>
      <c r="T60" s="214">
        <f>'Asset base'!T570</f>
        <v>0</v>
      </c>
      <c r="U60" s="214">
        <f>'Asset base'!U570</f>
        <v>0</v>
      </c>
      <c r="V60" s="214">
        <f>'Asset base'!V570</f>
        <v>0</v>
      </c>
      <c r="W60" s="214">
        <f>'Asset base'!W570</f>
        <v>0</v>
      </c>
      <c r="X60" s="214">
        <f>'Asset base'!X570</f>
        <v>0</v>
      </c>
      <c r="Y60" s="380">
        <f>'Asset base'!Y570</f>
        <v>0</v>
      </c>
    </row>
    <row r="61" spans="1:25">
      <c r="A61" s="100"/>
      <c r="B61" s="100"/>
      <c r="C61" s="100"/>
      <c r="D61" s="100"/>
      <c r="E61" s="100"/>
      <c r="F61" s="100"/>
      <c r="G61" s="100" t="s">
        <v>30</v>
      </c>
      <c r="H61" s="102"/>
      <c r="I61" s="100"/>
      <c r="J61" s="100"/>
      <c r="K61" s="214"/>
      <c r="L61" s="214"/>
      <c r="M61" s="214"/>
      <c r="N61" s="214">
        <f>'Asset base'!N579</f>
        <v>0</v>
      </c>
      <c r="O61" s="214">
        <f>'Asset base'!O579</f>
        <v>0</v>
      </c>
      <c r="P61" s="214">
        <f>'Asset base'!P579</f>
        <v>0</v>
      </c>
      <c r="Q61" s="214">
        <f>'Asset base'!Q579</f>
        <v>0</v>
      </c>
      <c r="R61" s="214">
        <f>'Asset base'!R579</f>
        <v>0</v>
      </c>
      <c r="S61" s="214">
        <f>'Asset base'!S579</f>
        <v>0</v>
      </c>
      <c r="T61" s="214">
        <f>'Asset base'!T579</f>
        <v>0</v>
      </c>
      <c r="U61" s="214">
        <f>'Asset base'!U579</f>
        <v>0</v>
      </c>
      <c r="V61" s="214">
        <f>'Asset base'!V579</f>
        <v>0</v>
      </c>
      <c r="W61" s="214">
        <f>'Asset base'!W579</f>
        <v>0</v>
      </c>
      <c r="X61" s="214">
        <f>'Asset base'!X579</f>
        <v>0</v>
      </c>
      <c r="Y61" s="380">
        <f>'Asset base'!Y579</f>
        <v>0</v>
      </c>
    </row>
    <row r="62" spans="1:25">
      <c r="A62" s="100"/>
      <c r="B62" s="100"/>
      <c r="C62" s="100"/>
      <c r="D62" s="100"/>
      <c r="E62" s="100"/>
      <c r="F62" s="100"/>
      <c r="G62" s="100" t="s">
        <v>29</v>
      </c>
      <c r="H62" s="102"/>
      <c r="I62" s="100"/>
      <c r="J62" s="100"/>
      <c r="K62" s="214"/>
      <c r="L62" s="214"/>
      <c r="M62" s="214"/>
      <c r="N62" s="214">
        <f>'Asset base'!N588</f>
        <v>132348.09695488837</v>
      </c>
      <c r="O62" s="214">
        <f>'Asset base'!O588</f>
        <v>110292.5955762974</v>
      </c>
      <c r="P62" s="214">
        <f>'Asset base'!P588</f>
        <v>75461.11241355128</v>
      </c>
      <c r="Q62" s="214">
        <f>'Asset base'!Q588</f>
        <v>39927.628721596819</v>
      </c>
      <c r="R62" s="214">
        <f>'Asset base'!R588</f>
        <v>4528.7715552084337</v>
      </c>
      <c r="S62" s="214">
        <f>'Asset base'!S588</f>
        <v>3486.4474387785422</v>
      </c>
      <c r="T62" s="214">
        <f>'Asset base'!T588</f>
        <v>2083.2796225291931</v>
      </c>
      <c r="U62" s="214">
        <f>'Asset base'!U588</f>
        <v>1305.0962355154415</v>
      </c>
      <c r="V62" s="214">
        <f>'Asset base'!V588</f>
        <v>878.18808083615102</v>
      </c>
      <c r="W62" s="214">
        <f>'Asset base'!W588</f>
        <v>702.55046466892054</v>
      </c>
      <c r="X62" s="214">
        <f>'Asset base'!X588</f>
        <v>526.91284850168995</v>
      </c>
      <c r="Y62" s="380">
        <f>'Asset base'!Y588</f>
        <v>351.27523233445942</v>
      </c>
    </row>
    <row r="63" spans="1:25">
      <c r="A63" s="100"/>
      <c r="B63" s="100"/>
      <c r="C63" s="100"/>
      <c r="D63" s="100"/>
      <c r="E63" s="100"/>
      <c r="F63" s="100"/>
      <c r="G63" s="220"/>
      <c r="H63" s="266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383"/>
    </row>
    <row r="64" spans="1:25">
      <c r="A64" s="100"/>
      <c r="B64" s="100"/>
      <c r="C64" s="100"/>
      <c r="D64" s="100"/>
      <c r="E64" s="100"/>
      <c r="F64" s="100"/>
      <c r="G64" s="100" t="s">
        <v>109</v>
      </c>
      <c r="H64" s="102"/>
      <c r="I64" s="100"/>
      <c r="J64" s="100"/>
      <c r="K64" s="152">
        <f t="shared" ref="K64:X64" si="5">SUM(K53:K63)</f>
        <v>0</v>
      </c>
      <c r="L64" s="152">
        <f t="shared" si="5"/>
        <v>0</v>
      </c>
      <c r="M64" s="152">
        <f t="shared" si="5"/>
        <v>0</v>
      </c>
      <c r="N64" s="152">
        <f t="shared" si="5"/>
        <v>188374439.68025148</v>
      </c>
      <c r="O64" s="152">
        <f t="shared" si="5"/>
        <v>218502160.36038259</v>
      </c>
      <c r="P64" s="152">
        <f t="shared" si="5"/>
        <v>228347244.98611721</v>
      </c>
      <c r="Q64" s="152">
        <f t="shared" si="5"/>
        <v>233502505.22729728</v>
      </c>
      <c r="R64" s="152">
        <f t="shared" si="5"/>
        <v>238055039.74707609</v>
      </c>
      <c r="S64" s="152">
        <f t="shared" si="5"/>
        <v>244363319.89974806</v>
      </c>
      <c r="T64" s="152">
        <f t="shared" si="5"/>
        <v>243779430.60705817</v>
      </c>
      <c r="U64" s="152">
        <f t="shared" si="5"/>
        <v>243278874.48139477</v>
      </c>
      <c r="V64" s="152">
        <f t="shared" si="5"/>
        <v>242858350.8535217</v>
      </c>
      <c r="W64" s="152">
        <f t="shared" si="5"/>
        <v>242496989.40098453</v>
      </c>
      <c r="X64" s="152">
        <f t="shared" si="5"/>
        <v>242179698.80849299</v>
      </c>
      <c r="Y64" s="363">
        <f>Y10</f>
        <v>1316569871.7890699</v>
      </c>
    </row>
    <row r="65" spans="1:25">
      <c r="A65" s="100"/>
      <c r="B65" s="100"/>
      <c r="C65" s="100"/>
      <c r="D65" s="100"/>
      <c r="E65" s="100"/>
      <c r="F65" s="100"/>
      <c r="G65" s="100"/>
      <c r="H65" s="102"/>
      <c r="I65" s="100"/>
      <c r="J65" s="100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363"/>
    </row>
    <row r="66" spans="1:25">
      <c r="A66" s="100"/>
      <c r="B66" s="100"/>
      <c r="C66" s="100"/>
      <c r="D66" s="100"/>
      <c r="E66" s="100"/>
      <c r="F66" s="100"/>
      <c r="G66" s="149" t="s">
        <v>106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352"/>
    </row>
    <row r="67" spans="1:25">
      <c r="A67" s="100"/>
      <c r="B67" s="100"/>
      <c r="C67" s="100"/>
      <c r="D67" s="100"/>
      <c r="E67" s="100"/>
      <c r="F67" s="100"/>
      <c r="G67" s="103" t="s">
        <v>108</v>
      </c>
      <c r="H67" s="102"/>
      <c r="I67" s="100"/>
      <c r="J67" s="100"/>
      <c r="K67" s="152"/>
      <c r="L67" s="152"/>
      <c r="M67" s="152"/>
      <c r="N67" s="152">
        <f>AVERAGE(N64)</f>
        <v>188374439.68025148</v>
      </c>
      <c r="O67" s="152">
        <f t="shared" ref="O67:X67" si="6">AVERAGE(N64:O64)</f>
        <v>203438300.02031702</v>
      </c>
      <c r="P67" s="152">
        <f t="shared" si="6"/>
        <v>223424702.6732499</v>
      </c>
      <c r="Q67" s="152">
        <f t="shared" si="6"/>
        <v>230924875.10670725</v>
      </c>
      <c r="R67" s="152">
        <f t="shared" si="6"/>
        <v>235778772.48718667</v>
      </c>
      <c r="S67" s="152">
        <f t="shared" si="6"/>
        <v>241209179.82341206</v>
      </c>
      <c r="T67" s="152">
        <f t="shared" si="6"/>
        <v>244071375.25340313</v>
      </c>
      <c r="U67" s="152">
        <f t="shared" si="6"/>
        <v>243529152.54422647</v>
      </c>
      <c r="V67" s="152">
        <f t="shared" si="6"/>
        <v>243068612.66745824</v>
      </c>
      <c r="W67" s="152">
        <f t="shared" si="6"/>
        <v>242677670.12725312</v>
      </c>
      <c r="X67" s="152">
        <f t="shared" si="6"/>
        <v>242338344.10473877</v>
      </c>
      <c r="Y67" s="363">
        <f>Y64</f>
        <v>1316569871.7890699</v>
      </c>
    </row>
    <row r="68" spans="1:25">
      <c r="A68" s="100"/>
      <c r="B68" s="100"/>
      <c r="C68" s="100"/>
      <c r="D68" s="100"/>
      <c r="E68" s="100"/>
      <c r="F68" s="100"/>
      <c r="G68" s="103" t="s">
        <v>107</v>
      </c>
      <c r="H68" s="102"/>
      <c r="I68" s="100"/>
      <c r="J68" s="100"/>
      <c r="K68" s="265"/>
      <c r="L68" s="265"/>
      <c r="M68" s="264"/>
      <c r="N68" s="264">
        <f>WACC!N32</f>
        <v>0.13554266666666667</v>
      </c>
      <c r="O68" s="264">
        <f>WACC!O32</f>
        <v>0.13554266666666667</v>
      </c>
      <c r="P68" s="264">
        <f>WACC!P32</f>
        <v>0.13554266666666667</v>
      </c>
      <c r="Q68" s="264">
        <f>WACC!Q32</f>
        <v>0.13554266666666667</v>
      </c>
      <c r="R68" s="264">
        <f>WACC!R32</f>
        <v>0.13554266666666667</v>
      </c>
      <c r="S68" s="264">
        <f>WACC!S32</f>
        <v>0.13554266666666667</v>
      </c>
      <c r="T68" s="264">
        <f>WACC!T32</f>
        <v>0.13554266666666667</v>
      </c>
      <c r="U68" s="264">
        <f>WACC!U32</f>
        <v>0.13554266666666667</v>
      </c>
      <c r="V68" s="264">
        <f>WACC!V32</f>
        <v>0.13554266666666667</v>
      </c>
      <c r="W68" s="264">
        <f>WACC!W32</f>
        <v>0.13554266666666667</v>
      </c>
      <c r="X68" s="264">
        <f>WACC!X32</f>
        <v>0.13554266666666667</v>
      </c>
      <c r="Y68" s="366">
        <f>WACC!Y32</f>
        <v>0.13554266666666667</v>
      </c>
    </row>
    <row r="69" spans="1:25">
      <c r="A69" s="100"/>
      <c r="B69" s="100"/>
      <c r="C69" s="100"/>
      <c r="D69" s="100"/>
      <c r="E69" s="100"/>
      <c r="F69" s="100"/>
      <c r="G69" s="103" t="s">
        <v>106</v>
      </c>
      <c r="H69" s="102"/>
      <c r="I69" s="100"/>
      <c r="J69" s="100"/>
      <c r="K69" s="152"/>
      <c r="L69" s="152"/>
      <c r="M69" s="152"/>
      <c r="N69" s="152">
        <f t="shared" ref="N69:S69" si="7">(N67*N68)</f>
        <v>25532773.886100434</v>
      </c>
      <c r="O69" s="152">
        <f t="shared" si="7"/>
        <v>27574569.686887156</v>
      </c>
      <c r="P69" s="152">
        <f t="shared" si="7"/>
        <v>30283579.99953942</v>
      </c>
      <c r="Q69" s="152">
        <f t="shared" si="7"/>
        <v>31300173.371630054</v>
      </c>
      <c r="R69" s="152">
        <f t="shared" si="7"/>
        <v>31958083.566306584</v>
      </c>
      <c r="S69" s="152">
        <f t="shared" si="7"/>
        <v>32694135.4577448</v>
      </c>
      <c r="T69" s="152">
        <f t="shared" ref="T69:Y69" si="8">(T67*T68)</f>
        <v>33082085.058846936</v>
      </c>
      <c r="U69" s="152">
        <f t="shared" si="8"/>
        <v>33008590.746917907</v>
      </c>
      <c r="V69" s="152">
        <f t="shared" si="8"/>
        <v>32946167.943914402</v>
      </c>
      <c r="W69" s="152">
        <f t="shared" si="8"/>
        <v>32893178.549501561</v>
      </c>
      <c r="X69" s="152">
        <f t="shared" si="8"/>
        <v>32847185.395540573</v>
      </c>
      <c r="Y69" s="363">
        <f t="shared" si="8"/>
        <v>178451391.27528197</v>
      </c>
    </row>
    <row r="70" spans="1:25">
      <c r="A70" s="100"/>
      <c r="B70" s="100"/>
      <c r="C70" s="100"/>
      <c r="D70" s="100"/>
      <c r="E70" s="100"/>
      <c r="F70" s="100"/>
      <c r="G70" s="100"/>
      <c r="H70" s="102"/>
      <c r="I70" s="100"/>
      <c r="J70" s="100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363"/>
    </row>
    <row r="71" spans="1:25">
      <c r="A71" s="100"/>
      <c r="B71" s="100"/>
      <c r="C71" s="100"/>
      <c r="D71" s="100"/>
      <c r="E71" s="100"/>
      <c r="F71" s="100"/>
      <c r="G71" s="100"/>
      <c r="H71" s="102"/>
      <c r="I71" s="100"/>
      <c r="J71" s="100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363"/>
    </row>
    <row r="72" spans="1:25" ht="15.75">
      <c r="A72" s="130"/>
      <c r="B72" s="130"/>
      <c r="C72" s="130"/>
      <c r="D72" s="130"/>
      <c r="E72" s="130"/>
      <c r="F72" s="130"/>
      <c r="G72" s="162" t="s">
        <v>144</v>
      </c>
      <c r="H72" s="161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359"/>
    </row>
    <row r="73" spans="1: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352"/>
    </row>
    <row r="74" spans="1:25">
      <c r="F74" t="s">
        <v>249</v>
      </c>
    </row>
    <row r="75" spans="1:25">
      <c r="G75" s="103" t="s">
        <v>281</v>
      </c>
      <c r="N75" s="152"/>
      <c r="O75" s="152">
        <f t="shared" ref="O75:Y75" si="9">O26+O29</f>
        <v>10496564.500647526</v>
      </c>
      <c r="P75" s="152">
        <f t="shared" si="9"/>
        <v>11336904.061747536</v>
      </c>
      <c r="Q75" s="152">
        <f t="shared" si="9"/>
        <v>11522500.641193254</v>
      </c>
      <c r="R75" s="152">
        <f t="shared" si="9"/>
        <v>11776914.167763583</v>
      </c>
      <c r="S75" s="152">
        <f t="shared" si="9"/>
        <v>12034088.306152927</v>
      </c>
      <c r="T75" s="152">
        <f t="shared" si="9"/>
        <v>12368810.590311857</v>
      </c>
      <c r="U75" s="152">
        <f t="shared" si="9"/>
        <v>12685117.148069082</v>
      </c>
      <c r="V75" s="152">
        <f t="shared" si="9"/>
        <v>13011174.259597903</v>
      </c>
      <c r="W75" s="152">
        <f t="shared" si="9"/>
        <v>13341344.194913812</v>
      </c>
      <c r="X75" s="152">
        <f t="shared" si="9"/>
        <v>13679781.631388716</v>
      </c>
      <c r="Y75" s="363">
        <f t="shared" si="9"/>
        <v>81361258.844732717</v>
      </c>
    </row>
    <row r="76" spans="1:25">
      <c r="G76" s="103" t="s">
        <v>78</v>
      </c>
      <c r="N76" s="164"/>
      <c r="O76" s="164">
        <f t="shared" ref="O76:Y76" si="10">O47</f>
        <v>5376584.791572053</v>
      </c>
      <c r="P76" s="164">
        <f t="shared" si="10"/>
        <v>5916023.2371689109</v>
      </c>
      <c r="Q76" s="164">
        <f t="shared" si="10"/>
        <v>6211765.2823366188</v>
      </c>
      <c r="R76" s="164">
        <f t="shared" si="10"/>
        <v>6483313.39583077</v>
      </c>
      <c r="S76" s="164">
        <f t="shared" si="10"/>
        <v>6799178.936760772</v>
      </c>
      <c r="T76" s="164">
        <f t="shared" si="10"/>
        <v>6596042.8220792646</v>
      </c>
      <c r="U76" s="164">
        <f t="shared" si="10"/>
        <v>6518595.8579725949</v>
      </c>
      <c r="V76" s="164">
        <f t="shared" si="10"/>
        <v>6444671.8293315731</v>
      </c>
      <c r="W76" s="164">
        <f t="shared" si="10"/>
        <v>6391780.308635802</v>
      </c>
      <c r="X76" s="164">
        <f t="shared" si="10"/>
        <v>6354150.711604109</v>
      </c>
      <c r="Y76" s="363">
        <f t="shared" si="10"/>
        <v>24851947.856868915</v>
      </c>
    </row>
    <row r="77" spans="1:25">
      <c r="G77" s="103" t="s">
        <v>279</v>
      </c>
      <c r="N77" s="164"/>
      <c r="O77" s="164">
        <f t="shared" ref="O77:Y77" si="11">O69</f>
        <v>27574569.686887156</v>
      </c>
      <c r="P77" s="164">
        <f t="shared" si="11"/>
        <v>30283579.99953942</v>
      </c>
      <c r="Q77" s="164">
        <f t="shared" si="11"/>
        <v>31300173.371630054</v>
      </c>
      <c r="R77" s="164">
        <f t="shared" si="11"/>
        <v>31958083.566306584</v>
      </c>
      <c r="S77" s="164">
        <f t="shared" si="11"/>
        <v>32694135.4577448</v>
      </c>
      <c r="T77" s="164">
        <f t="shared" si="11"/>
        <v>33082085.058846936</v>
      </c>
      <c r="U77" s="164">
        <f t="shared" si="11"/>
        <v>33008590.746917907</v>
      </c>
      <c r="V77" s="164">
        <f t="shared" si="11"/>
        <v>32946167.943914402</v>
      </c>
      <c r="W77" s="164">
        <f t="shared" si="11"/>
        <v>32893178.549501561</v>
      </c>
      <c r="X77" s="164">
        <f t="shared" si="11"/>
        <v>32847185.395540573</v>
      </c>
      <c r="Y77" s="363">
        <f t="shared" si="11"/>
        <v>178451391.27528197</v>
      </c>
    </row>
    <row r="78" spans="1:25" ht="14.25" customHeight="1">
      <c r="G78" s="103" t="s">
        <v>208</v>
      </c>
      <c r="N78" s="197"/>
      <c r="O78" s="164">
        <f t="shared" ref="O78:Y78" si="12">-O30</f>
        <v>-3852654.7659091451</v>
      </c>
      <c r="P78" s="164">
        <f t="shared" si="12"/>
        <v>-4487815.844126204</v>
      </c>
      <c r="Q78" s="164">
        <f t="shared" si="12"/>
        <v>-4699926.0335926283</v>
      </c>
      <c r="R78" s="164">
        <f t="shared" si="12"/>
        <v>-4813045.3744922439</v>
      </c>
      <c r="S78" s="164">
        <f t="shared" si="12"/>
        <v>-4916936.3474122193</v>
      </c>
      <c r="T78" s="164">
        <f t="shared" si="12"/>
        <v>-6012153.5293893684</v>
      </c>
      <c r="U78" s="164">
        <f t="shared" si="12"/>
        <v>-6018039.7323092334</v>
      </c>
      <c r="V78" s="164">
        <f t="shared" si="12"/>
        <v>-6024148.2014585268</v>
      </c>
      <c r="W78" s="164">
        <f t="shared" si="12"/>
        <v>-6030418.8560985941</v>
      </c>
      <c r="X78" s="164">
        <f t="shared" si="12"/>
        <v>-6036860.1191125633</v>
      </c>
      <c r="Y78" s="363">
        <f t="shared" si="12"/>
        <v>-32714581.334986206</v>
      </c>
    </row>
    <row r="79" spans="1:25" ht="14.25" customHeight="1">
      <c r="G79" s="103" t="s">
        <v>207</v>
      </c>
      <c r="N79" s="164"/>
      <c r="O79" s="164">
        <f>-'09-12 revaluation booked income'!O17</f>
        <v>-8677883.0482765622</v>
      </c>
      <c r="P79" s="164">
        <f>-'09-12 revaluation booked income'!P17</f>
        <v>-8677883.0482765622</v>
      </c>
      <c r="Q79" s="164">
        <f>-'09-12 revaluation booked income'!Q17</f>
        <v>-8677883.0482765622</v>
      </c>
      <c r="R79" s="164">
        <f>-'09-12 revaluation booked income'!R17</f>
        <v>-8677883.0482765622</v>
      </c>
      <c r="S79" s="164">
        <f>-'09-12 revaluation booked income'!S17</f>
        <v>-8677883.0482765622</v>
      </c>
      <c r="T79" s="164">
        <f>-'09-12 revaluation booked income'!T17</f>
        <v>0</v>
      </c>
      <c r="U79" s="164">
        <f>-'09-12 revaluation booked income'!U17</f>
        <v>0</v>
      </c>
      <c r="V79" s="164">
        <f>-'09-12 revaluation booked income'!V17</f>
        <v>0</v>
      </c>
      <c r="W79" s="164">
        <f>-'09-12 revaluation booked income'!W17</f>
        <v>0</v>
      </c>
      <c r="X79" s="164">
        <f>-'09-12 revaluation booked income'!X17</f>
        <v>0</v>
      </c>
      <c r="Y79" s="164">
        <f>-'09-12 revaluation booked income'!Y17</f>
        <v>0</v>
      </c>
    </row>
    <row r="80" spans="1:25" ht="14.25" customHeight="1">
      <c r="G80" s="103" t="s">
        <v>248</v>
      </c>
      <c r="N80" s="164"/>
      <c r="O80" s="164">
        <f t="shared" ref="O80:Y80" si="13">-O12</f>
        <v>-87000</v>
      </c>
      <c r="P80" s="164">
        <f t="shared" si="13"/>
        <v>-88826.999999999985</v>
      </c>
      <c r="Q80" s="164">
        <f t="shared" si="13"/>
        <v>-90692.366999999984</v>
      </c>
      <c r="R80" s="164">
        <f t="shared" si="13"/>
        <v>-92596.906706999973</v>
      </c>
      <c r="S80" s="164">
        <f t="shared" si="13"/>
        <v>-94541.44174784697</v>
      </c>
      <c r="T80" s="164">
        <f t="shared" si="13"/>
        <v>-96904.977791543133</v>
      </c>
      <c r="U80" s="164">
        <f t="shared" si="13"/>
        <v>-99327.602236331702</v>
      </c>
      <c r="V80" s="164">
        <f t="shared" si="13"/>
        <v>-101810.79229223999</v>
      </c>
      <c r="W80" s="164">
        <f t="shared" si="13"/>
        <v>-104356.06209954598</v>
      </c>
      <c r="X80" s="164">
        <f t="shared" si="13"/>
        <v>-106964.96365203461</v>
      </c>
      <c r="Y80" s="164">
        <f t="shared" si="13"/>
        <v>-628510.6268525013</v>
      </c>
    </row>
    <row r="81" spans="6:25">
      <c r="G81" s="262" t="s">
        <v>141</v>
      </c>
      <c r="H81" s="261"/>
      <c r="I81" s="261"/>
      <c r="J81" s="261"/>
      <c r="K81" s="261"/>
      <c r="L81" s="261"/>
      <c r="M81" s="261"/>
      <c r="N81" s="166"/>
      <c r="O81" s="166">
        <f t="shared" ref="O81:Y81" si="14">SUM(O75:O80)</f>
        <v>30830181.164921034</v>
      </c>
      <c r="P81" s="166">
        <f t="shared" si="14"/>
        <v>34281981.406053096</v>
      </c>
      <c r="Q81" s="166">
        <f t="shared" si="14"/>
        <v>35565937.846290737</v>
      </c>
      <c r="R81" s="166">
        <f t="shared" si="14"/>
        <v>36634785.800425135</v>
      </c>
      <c r="S81" s="166">
        <f t="shared" si="14"/>
        <v>37838041.863221869</v>
      </c>
      <c r="T81" s="166">
        <f t="shared" si="14"/>
        <v>45937879.964057155</v>
      </c>
      <c r="U81" s="166">
        <f t="shared" si="14"/>
        <v>46094936.418414012</v>
      </c>
      <c r="V81" s="166">
        <f t="shared" si="14"/>
        <v>46276055.039093107</v>
      </c>
      <c r="W81" s="166">
        <f t="shared" si="14"/>
        <v>46491528.134853035</v>
      </c>
      <c r="X81" s="166">
        <f t="shared" si="14"/>
        <v>46737292.655768797</v>
      </c>
      <c r="Y81" s="166">
        <f t="shared" si="14"/>
        <v>251321506.01504487</v>
      </c>
    </row>
    <row r="82" spans="6:25">
      <c r="G82" s="103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363"/>
    </row>
    <row r="83" spans="6:25">
      <c r="F83" t="s">
        <v>250</v>
      </c>
      <c r="O83" t="s">
        <v>182</v>
      </c>
    </row>
    <row r="84" spans="6:25">
      <c r="G84" s="103" t="s">
        <v>105</v>
      </c>
      <c r="N84" s="152"/>
      <c r="O84" s="574">
        <f>O75*seven_months</f>
        <v>6122995.958711057</v>
      </c>
      <c r="P84" s="152">
        <f t="shared" ref="P84:Y84" si="15">P75</f>
        <v>11336904.061747536</v>
      </c>
      <c r="Q84" s="152">
        <f t="shared" si="15"/>
        <v>11522500.641193254</v>
      </c>
      <c r="R84" s="152">
        <f t="shared" si="15"/>
        <v>11776914.167763583</v>
      </c>
      <c r="S84" s="152">
        <f t="shared" si="15"/>
        <v>12034088.306152927</v>
      </c>
      <c r="T84" s="152">
        <f t="shared" si="15"/>
        <v>12368810.590311857</v>
      </c>
      <c r="U84" s="152">
        <f t="shared" si="15"/>
        <v>12685117.148069082</v>
      </c>
      <c r="V84" s="152">
        <f t="shared" si="15"/>
        <v>13011174.259597903</v>
      </c>
      <c r="W84" s="152">
        <f t="shared" si="15"/>
        <v>13341344.194913812</v>
      </c>
      <c r="X84" s="152">
        <f t="shared" si="15"/>
        <v>13679781.631388716</v>
      </c>
      <c r="Y84" s="152">
        <f t="shared" si="15"/>
        <v>81361258.844732717</v>
      </c>
    </row>
    <row r="85" spans="6:25">
      <c r="G85" s="103" t="s">
        <v>104</v>
      </c>
      <c r="N85" s="152"/>
      <c r="O85" s="574">
        <f>O76*seven_months</f>
        <v>3136341.1284170309</v>
      </c>
      <c r="P85" s="152">
        <f t="shared" ref="P85:Y85" si="16">P76</f>
        <v>5916023.2371689109</v>
      </c>
      <c r="Q85" s="152">
        <f t="shared" si="16"/>
        <v>6211765.2823366188</v>
      </c>
      <c r="R85" s="152">
        <f t="shared" si="16"/>
        <v>6483313.39583077</v>
      </c>
      <c r="S85" s="152">
        <f t="shared" si="16"/>
        <v>6799178.936760772</v>
      </c>
      <c r="T85" s="152">
        <f t="shared" si="16"/>
        <v>6596042.8220792646</v>
      </c>
      <c r="U85" s="152">
        <f t="shared" si="16"/>
        <v>6518595.8579725949</v>
      </c>
      <c r="V85" s="152">
        <f t="shared" si="16"/>
        <v>6444671.8293315731</v>
      </c>
      <c r="W85" s="152">
        <f t="shared" si="16"/>
        <v>6391780.308635802</v>
      </c>
      <c r="X85" s="152">
        <f t="shared" si="16"/>
        <v>6354150.711604109</v>
      </c>
      <c r="Y85" s="152">
        <f t="shared" si="16"/>
        <v>24851947.856868915</v>
      </c>
    </row>
    <row r="86" spans="6:25">
      <c r="G86" s="103" t="s">
        <v>282</v>
      </c>
      <c r="N86" s="152"/>
      <c r="O86" s="574">
        <f>O77*seven_months</f>
        <v>16085165.650684176</v>
      </c>
      <c r="P86" s="152">
        <f t="shared" ref="P86:Y86" si="17">P77</f>
        <v>30283579.99953942</v>
      </c>
      <c r="Q86" s="152">
        <f t="shared" si="17"/>
        <v>31300173.371630054</v>
      </c>
      <c r="R86" s="152">
        <f t="shared" si="17"/>
        <v>31958083.566306584</v>
      </c>
      <c r="S86" s="152">
        <f t="shared" si="17"/>
        <v>32694135.4577448</v>
      </c>
      <c r="T86" s="152">
        <f t="shared" si="17"/>
        <v>33082085.058846936</v>
      </c>
      <c r="U86" s="152">
        <f t="shared" si="17"/>
        <v>33008590.746917907</v>
      </c>
      <c r="V86" s="152">
        <f t="shared" si="17"/>
        <v>32946167.943914402</v>
      </c>
      <c r="W86" s="152">
        <f t="shared" si="17"/>
        <v>32893178.549501561</v>
      </c>
      <c r="X86" s="152">
        <f t="shared" si="17"/>
        <v>32847185.395540573</v>
      </c>
      <c r="Y86" s="152">
        <f t="shared" si="17"/>
        <v>178451391.27528197</v>
      </c>
    </row>
    <row r="87" spans="6:25" ht="14.25" customHeight="1">
      <c r="G87" s="103" t="s">
        <v>208</v>
      </c>
      <c r="N87" s="152"/>
      <c r="O87" s="574">
        <f>O78*seven_months</f>
        <v>-2247381.9467803347</v>
      </c>
      <c r="P87" s="152">
        <f t="shared" ref="P87:Y87" si="18">P78</f>
        <v>-4487815.844126204</v>
      </c>
      <c r="Q87" s="152">
        <f t="shared" si="18"/>
        <v>-4699926.0335926283</v>
      </c>
      <c r="R87" s="152">
        <f t="shared" si="18"/>
        <v>-4813045.3744922439</v>
      </c>
      <c r="S87" s="152">
        <f t="shared" si="18"/>
        <v>-4916936.3474122193</v>
      </c>
      <c r="T87" s="152">
        <f t="shared" si="18"/>
        <v>-6012153.5293893684</v>
      </c>
      <c r="U87" s="152">
        <f t="shared" si="18"/>
        <v>-6018039.7323092334</v>
      </c>
      <c r="V87" s="152">
        <f t="shared" si="18"/>
        <v>-6024148.2014585268</v>
      </c>
      <c r="W87" s="152">
        <f t="shared" si="18"/>
        <v>-6030418.8560985941</v>
      </c>
      <c r="X87" s="152">
        <f t="shared" si="18"/>
        <v>-6036860.1191125633</v>
      </c>
      <c r="Y87" s="152">
        <f t="shared" si="18"/>
        <v>-32714581.334986206</v>
      </c>
    </row>
    <row r="88" spans="6:25" ht="14.25" customHeight="1">
      <c r="G88" s="103" t="s">
        <v>207</v>
      </c>
      <c r="N88" s="152"/>
      <c r="O88" s="152">
        <f>O79</f>
        <v>-8677883.0482765622</v>
      </c>
      <c r="P88" s="152">
        <f t="shared" ref="P88:Y88" si="19">P79</f>
        <v>-8677883.0482765622</v>
      </c>
      <c r="Q88" s="152">
        <f t="shared" si="19"/>
        <v>-8677883.0482765622</v>
      </c>
      <c r="R88" s="152">
        <f t="shared" si="19"/>
        <v>-8677883.0482765622</v>
      </c>
      <c r="S88" s="152">
        <f t="shared" si="19"/>
        <v>-8677883.0482765622</v>
      </c>
      <c r="T88" s="152">
        <f t="shared" si="19"/>
        <v>0</v>
      </c>
      <c r="U88" s="152">
        <f t="shared" si="19"/>
        <v>0</v>
      </c>
      <c r="V88" s="152">
        <f t="shared" si="19"/>
        <v>0</v>
      </c>
      <c r="W88" s="152">
        <f t="shared" si="19"/>
        <v>0</v>
      </c>
      <c r="X88" s="152">
        <f t="shared" si="19"/>
        <v>0</v>
      </c>
      <c r="Y88" s="152">
        <f t="shared" si="19"/>
        <v>0</v>
      </c>
    </row>
    <row r="89" spans="6:25" ht="14.25" customHeight="1">
      <c r="G89" s="103" t="s">
        <v>248</v>
      </c>
      <c r="N89" s="152"/>
      <c r="O89" s="574">
        <f>O80*seven_months</f>
        <v>-50750</v>
      </c>
      <c r="P89" s="152">
        <f t="shared" ref="P89:Y89" si="20">P80</f>
        <v>-88826.999999999985</v>
      </c>
      <c r="Q89" s="152">
        <f t="shared" si="20"/>
        <v>-90692.366999999984</v>
      </c>
      <c r="R89" s="152">
        <f t="shared" si="20"/>
        <v>-92596.906706999973</v>
      </c>
      <c r="S89" s="152">
        <f t="shared" si="20"/>
        <v>-94541.44174784697</v>
      </c>
      <c r="T89" s="152">
        <f t="shared" si="20"/>
        <v>-96904.977791543133</v>
      </c>
      <c r="U89" s="152">
        <f t="shared" si="20"/>
        <v>-99327.602236331702</v>
      </c>
      <c r="V89" s="152">
        <f t="shared" si="20"/>
        <v>-101810.79229223999</v>
      </c>
      <c r="W89" s="152">
        <f t="shared" si="20"/>
        <v>-104356.06209954598</v>
      </c>
      <c r="X89" s="152">
        <f t="shared" si="20"/>
        <v>-106964.96365203461</v>
      </c>
      <c r="Y89" s="152">
        <f t="shared" si="20"/>
        <v>-628510.6268525013</v>
      </c>
    </row>
    <row r="90" spans="6:25">
      <c r="G90" s="262" t="s">
        <v>141</v>
      </c>
      <c r="H90" s="261"/>
      <c r="I90" s="261"/>
      <c r="J90" s="261"/>
      <c r="K90" s="261"/>
      <c r="L90" s="261"/>
      <c r="M90" s="261"/>
      <c r="N90" s="166"/>
      <c r="O90" s="166">
        <f t="shared" ref="O90:Y90" si="21">SUM(O84:O89)</f>
        <v>14368487.742755368</v>
      </c>
      <c r="P90" s="166">
        <f t="shared" si="21"/>
        <v>34281981.406053096</v>
      </c>
      <c r="Q90" s="166">
        <f t="shared" si="21"/>
        <v>35565937.846290737</v>
      </c>
      <c r="R90" s="166">
        <f t="shared" si="21"/>
        <v>36634785.800425135</v>
      </c>
      <c r="S90" s="166">
        <f t="shared" si="21"/>
        <v>37838041.863221869</v>
      </c>
      <c r="T90" s="166">
        <f t="shared" si="21"/>
        <v>45937879.964057155</v>
      </c>
      <c r="U90" s="166">
        <f t="shared" si="21"/>
        <v>46094936.418414012</v>
      </c>
      <c r="V90" s="166">
        <f t="shared" si="21"/>
        <v>46276055.039093107</v>
      </c>
      <c r="W90" s="166">
        <f t="shared" si="21"/>
        <v>46491528.134853035</v>
      </c>
      <c r="X90" s="166">
        <f t="shared" si="21"/>
        <v>46737292.655768797</v>
      </c>
      <c r="Y90" s="166">
        <f t="shared" si="21"/>
        <v>251321506.01504487</v>
      </c>
    </row>
  </sheetData>
  <pageMargins left="0.70866141732283472" right="0.70866141732283472" top="0.74803149606299213" bottom="0.74803149606299213" header="0.31496062992125984" footer="0.31496062992125984"/>
  <pageSetup paperSize="8" scale="92" fitToHeight="0" orientation="landscape" r:id="rId1"/>
  <headerFooter>
    <oddFooter>&amp;L&amp;D&amp;R&amp;P of &amp;N</oddFooter>
  </headerFooter>
  <customProperties>
    <customPr name="SSCSheetTrackingNo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Model Map</vt:lpstr>
      <vt:lpstr>Pricing_and_Revenue4yr7 target </vt:lpstr>
      <vt:lpstr>FY 15 price breakdown</vt:lpstr>
      <vt:lpstr>Volume &amp; CPI forecast</vt:lpstr>
      <vt:lpstr>Opex</vt:lpstr>
      <vt:lpstr>09-12 revaluation booked income</vt:lpstr>
      <vt:lpstr>Asset base</vt:lpstr>
      <vt:lpstr>WACC</vt:lpstr>
      <vt:lpstr>AIRFIELD</vt:lpstr>
      <vt:lpstr>TERM INTER</vt:lpstr>
      <vt:lpstr>TERM DOM - JET</vt:lpstr>
      <vt:lpstr>TERM DOM</vt:lpstr>
      <vt:lpstr>BARNZ Airfield</vt:lpstr>
      <vt:lpstr>BARNZ int term</vt:lpstr>
      <vt:lpstr>BARNZ DJ term</vt:lpstr>
      <vt:lpstr>BARNZ TP term</vt:lpstr>
      <vt:lpstr>BARNZ total</vt:lpstr>
      <vt:lpstr>m</vt:lpstr>
      <vt:lpstr>'BARNZ Airfield'!Print_Area</vt:lpstr>
      <vt:lpstr>'BARNZ DJ term'!Print_Area</vt:lpstr>
      <vt:lpstr>'BARNZ int term'!Print_Area</vt:lpstr>
      <vt:lpstr>'BARNZ total'!Print_Area</vt:lpstr>
      <vt:lpstr>seven_months</vt:lpstr>
      <vt:lpstr>Term_WACC</vt:lpstr>
    </vt:vector>
  </TitlesOfParts>
  <Company>Castalia Strategic Advisors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Hsieh</dc:creator>
  <cp:lastModifiedBy>Kristina Cooper</cp:lastModifiedBy>
  <cp:lastPrinted>2013-03-20T22:59:45Z</cp:lastPrinted>
  <dcterms:created xsi:type="dcterms:W3CDTF">2011-12-22T23:59:36Z</dcterms:created>
  <dcterms:modified xsi:type="dcterms:W3CDTF">2013-03-22T02:12:01Z</dcterms:modified>
</cp:coreProperties>
</file>