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5" windowWidth="20955" windowHeight="9975" tabRatio="711"/>
  </bookViews>
  <sheets>
    <sheet name="Summary" sheetId="9" r:id="rId1"/>
    <sheet name="Airfield CIAL Proposal" sheetId="3" r:id="rId2"/>
    <sheet name="Airfield BARNZ Alt RR" sheetId="17" r:id="rId3"/>
    <sheet name="Int Terminal CIAL Proposal" sheetId="1" r:id="rId4"/>
    <sheet name="Int Terminal BARNZ Alt RR" sheetId="18" r:id="rId5"/>
    <sheet name="Dom Jet CIAL Proposal" sheetId="5" r:id="rId6"/>
    <sheet name="Dom Jet BARNZ Alt RR" sheetId="19" r:id="rId7"/>
    <sheet name="Dom T.Prop CIAL Proposal" sheetId="7" r:id="rId8"/>
    <sheet name="Dom T.Prop BARNZ Alt RR" sheetId="20" r:id="rId9"/>
    <sheet name="Sheet1" sheetId="16" r:id="rId10"/>
  </sheets>
  <externalReferences>
    <externalReference r:id="rId11"/>
  </externalReferences>
  <definedNames>
    <definedName name="seven_months">'[1]Pricing_and_Revenue4yr7 target '!$M$10</definedName>
  </definedNames>
  <calcPr calcId="145621" calcOnSave="0"/>
</workbook>
</file>

<file path=xl/calcChain.xml><?xml version="1.0" encoding="utf-8"?>
<calcChain xmlns="http://schemas.openxmlformats.org/spreadsheetml/2006/main">
  <c r="D33" i="9" l="1"/>
  <c r="C48" i="7"/>
  <c r="C48" i="5"/>
  <c r="C49" i="1"/>
  <c r="C49" i="3"/>
  <c r="D44" i="20" l="1"/>
  <c r="D44" i="7"/>
  <c r="D46" i="19"/>
  <c r="D46" i="5"/>
  <c r="D46" i="17"/>
  <c r="D46" i="3"/>
  <c r="C13" i="18" l="1"/>
  <c r="C13" i="20"/>
  <c r="C13" i="19"/>
  <c r="G11" i="18"/>
  <c r="E11" i="18"/>
  <c r="I56" i="17" l="1"/>
  <c r="I56" i="3"/>
  <c r="D37" i="20" l="1"/>
  <c r="D37" i="7"/>
  <c r="D37" i="19"/>
  <c r="D37" i="5"/>
  <c r="D38" i="18"/>
  <c r="D38" i="1"/>
  <c r="D39" i="17"/>
  <c r="D39" i="3"/>
  <c r="C29" i="20" l="1"/>
  <c r="C31" i="20" s="1"/>
  <c r="C29" i="7"/>
  <c r="C31" i="7" s="1"/>
  <c r="C29" i="19"/>
  <c r="C31" i="19" s="1"/>
  <c r="C29" i="5"/>
  <c r="C31" i="5" s="1"/>
  <c r="C30" i="18"/>
  <c r="C30" i="1"/>
  <c r="B18" i="17" l="1"/>
  <c r="B19" i="18"/>
  <c r="B19" i="19"/>
  <c r="B19" i="20"/>
  <c r="I64" i="20"/>
  <c r="I63" i="20"/>
  <c r="I62" i="20"/>
  <c r="I61" i="20"/>
  <c r="I60" i="20"/>
  <c r="I59" i="20"/>
  <c r="D53" i="20"/>
  <c r="E53" i="20" s="1"/>
  <c r="F53" i="20" s="1"/>
  <c r="G53" i="20" s="1"/>
  <c r="H53" i="20" s="1"/>
  <c r="I52" i="20"/>
  <c r="D51" i="20"/>
  <c r="E51" i="20" s="1"/>
  <c r="E42" i="20"/>
  <c r="F42" i="20" s="1"/>
  <c r="G42" i="20" s="1"/>
  <c r="H42" i="20" s="1"/>
  <c r="B38" i="20"/>
  <c r="C48" i="20" s="1"/>
  <c r="D29" i="20"/>
  <c r="D31" i="20" s="1"/>
  <c r="H23" i="20"/>
  <c r="G23" i="20"/>
  <c r="F23" i="20"/>
  <c r="E23" i="20"/>
  <c r="D23" i="20"/>
  <c r="I23" i="20" s="1"/>
  <c r="D22" i="20"/>
  <c r="I22" i="20" s="1"/>
  <c r="H19" i="20"/>
  <c r="G19" i="20"/>
  <c r="F19" i="20"/>
  <c r="E19" i="20"/>
  <c r="D19" i="20"/>
  <c r="C15" i="20"/>
  <c r="D8" i="20"/>
  <c r="D45" i="20" s="1"/>
  <c r="D6" i="20"/>
  <c r="E44" i="20" s="1"/>
  <c r="I65" i="19"/>
  <c r="D54" i="19"/>
  <c r="E54" i="19" s="1"/>
  <c r="F54" i="19" s="1"/>
  <c r="G54" i="19" s="1"/>
  <c r="H54" i="19" s="1"/>
  <c r="D52" i="19"/>
  <c r="E52" i="19" s="1"/>
  <c r="E44" i="19"/>
  <c r="F44" i="19" s="1"/>
  <c r="G44" i="19" s="1"/>
  <c r="H44" i="19" s="1"/>
  <c r="E42" i="19"/>
  <c r="F42" i="19" s="1"/>
  <c r="G42" i="19" s="1"/>
  <c r="H42" i="19" s="1"/>
  <c r="B38" i="19"/>
  <c r="C48" i="19" s="1"/>
  <c r="D29" i="19"/>
  <c r="D31" i="19" s="1"/>
  <c r="H23" i="19"/>
  <c r="G23" i="19"/>
  <c r="F23" i="19"/>
  <c r="E23" i="19"/>
  <c r="D23" i="19"/>
  <c r="I23" i="19" s="1"/>
  <c r="D22" i="19"/>
  <c r="I22" i="19" s="1"/>
  <c r="H19" i="19"/>
  <c r="G19" i="19"/>
  <c r="F19" i="19"/>
  <c r="E19" i="19"/>
  <c r="D19" i="19"/>
  <c r="C15" i="19"/>
  <c r="D8" i="19"/>
  <c r="D47" i="19" s="1"/>
  <c r="D12" i="19" s="1"/>
  <c r="D6" i="19"/>
  <c r="E46" i="19" s="1"/>
  <c r="I79" i="18"/>
  <c r="I78" i="18"/>
  <c r="I77" i="18"/>
  <c r="I76" i="18"/>
  <c r="I75" i="18"/>
  <c r="I74" i="18"/>
  <c r="D66" i="18"/>
  <c r="E66" i="18" s="1"/>
  <c r="F66" i="18" s="1"/>
  <c r="G66" i="18" s="1"/>
  <c r="H66" i="18" s="1"/>
  <c r="D65" i="18"/>
  <c r="E65" i="18" s="1"/>
  <c r="F65" i="18" s="1"/>
  <c r="G65" i="18" s="1"/>
  <c r="H65" i="18" s="1"/>
  <c r="D64" i="18"/>
  <c r="D63" i="18"/>
  <c r="E63" i="18" s="1"/>
  <c r="D58" i="18"/>
  <c r="E58" i="18" s="1"/>
  <c r="F58" i="18" s="1"/>
  <c r="G58" i="18" s="1"/>
  <c r="H58" i="18" s="1"/>
  <c r="I58" i="18" s="1"/>
  <c r="C55" i="18"/>
  <c r="D55" i="18" s="1"/>
  <c r="E55" i="18" s="1"/>
  <c r="F55" i="18" s="1"/>
  <c r="G55" i="18" s="1"/>
  <c r="H55" i="18" s="1"/>
  <c r="C54" i="18"/>
  <c r="D54" i="18" s="1"/>
  <c r="E54" i="18" s="1"/>
  <c r="F54" i="18" s="1"/>
  <c r="G54" i="18" s="1"/>
  <c r="H54" i="18" s="1"/>
  <c r="C53" i="18"/>
  <c r="D45" i="18"/>
  <c r="E43" i="18"/>
  <c r="F43" i="18" s="1"/>
  <c r="G43" i="18" s="1"/>
  <c r="H43" i="18" s="1"/>
  <c r="B39" i="18"/>
  <c r="C49" i="18" s="1"/>
  <c r="H30" i="18"/>
  <c r="G30" i="18"/>
  <c r="F30" i="18"/>
  <c r="E30" i="18"/>
  <c r="D30" i="18"/>
  <c r="I30" i="18" s="1"/>
  <c r="H23" i="18"/>
  <c r="G23" i="18"/>
  <c r="F23" i="18"/>
  <c r="E23" i="18"/>
  <c r="D23" i="18"/>
  <c r="I23" i="18" s="1"/>
  <c r="D22" i="18"/>
  <c r="I22" i="18" s="1"/>
  <c r="H19" i="18"/>
  <c r="G19" i="18"/>
  <c r="F19" i="18"/>
  <c r="E19" i="18"/>
  <c r="D19" i="18"/>
  <c r="C15" i="18"/>
  <c r="D8" i="18"/>
  <c r="D46" i="18" s="1"/>
  <c r="D6" i="18"/>
  <c r="E45" i="18" s="1"/>
  <c r="I80" i="17"/>
  <c r="I79" i="17"/>
  <c r="I77" i="17"/>
  <c r="I75" i="17"/>
  <c r="E64" i="17"/>
  <c r="F64" i="17" s="1"/>
  <c r="D63" i="17"/>
  <c r="E63" i="17" s="1"/>
  <c r="F63" i="17" s="1"/>
  <c r="G63" i="17" s="1"/>
  <c r="H63" i="17" s="1"/>
  <c r="D62" i="17"/>
  <c r="E62" i="17" s="1"/>
  <c r="F62" i="17" s="1"/>
  <c r="G62" i="17" s="1"/>
  <c r="H62" i="17" s="1"/>
  <c r="D55" i="17"/>
  <c r="E55" i="17" s="1"/>
  <c r="F55" i="17" s="1"/>
  <c r="D54" i="17"/>
  <c r="E54" i="17" s="1"/>
  <c r="F54" i="17" s="1"/>
  <c r="G54" i="17" s="1"/>
  <c r="H54" i="17" s="1"/>
  <c r="I54" i="17" s="1"/>
  <c r="D53" i="17"/>
  <c r="E53" i="17" s="1"/>
  <c r="F53" i="17" s="1"/>
  <c r="G53" i="17" s="1"/>
  <c r="H53" i="17" s="1"/>
  <c r="I53" i="17" s="1"/>
  <c r="E44" i="17"/>
  <c r="F44" i="17" s="1"/>
  <c r="G44" i="17" s="1"/>
  <c r="H44" i="17" s="1"/>
  <c r="B40" i="17"/>
  <c r="C49" i="17" s="1"/>
  <c r="D32" i="17"/>
  <c r="I32" i="17" s="1"/>
  <c r="E31" i="17"/>
  <c r="D31" i="17"/>
  <c r="E30" i="17"/>
  <c r="D30" i="17"/>
  <c r="H29" i="17"/>
  <c r="G29" i="17"/>
  <c r="F29" i="17"/>
  <c r="E29" i="17"/>
  <c r="D29" i="17"/>
  <c r="I29" i="17" s="1"/>
  <c r="C29" i="17"/>
  <c r="H28" i="17"/>
  <c r="G28" i="17"/>
  <c r="F28" i="17"/>
  <c r="E28" i="17"/>
  <c r="E33" i="17" s="1"/>
  <c r="D28" i="17"/>
  <c r="D33" i="17" s="1"/>
  <c r="C28" i="17"/>
  <c r="C33" i="17" s="1"/>
  <c r="H22" i="17"/>
  <c r="G22" i="17"/>
  <c r="F22" i="17"/>
  <c r="E22" i="17"/>
  <c r="D22" i="17"/>
  <c r="I22" i="17" s="1"/>
  <c r="D21" i="17"/>
  <c r="I21" i="17" s="1"/>
  <c r="H18" i="17"/>
  <c r="G18" i="17"/>
  <c r="F18" i="17"/>
  <c r="E18" i="17"/>
  <c r="D18" i="17"/>
  <c r="C12" i="17"/>
  <c r="C14" i="17" s="1"/>
  <c r="D8" i="17"/>
  <c r="D47" i="17" s="1"/>
  <c r="D6" i="17"/>
  <c r="E46" i="17" s="1"/>
  <c r="D23" i="7"/>
  <c r="D22" i="7"/>
  <c r="D53" i="7"/>
  <c r="C13" i="7"/>
  <c r="C56" i="18" l="1"/>
  <c r="C29" i="18"/>
  <c r="C32" i="18" s="1"/>
  <c r="E6" i="20"/>
  <c r="D12" i="20"/>
  <c r="D13" i="20"/>
  <c r="E8" i="20" s="1"/>
  <c r="D15" i="20"/>
  <c r="H48" i="20"/>
  <c r="G48" i="20"/>
  <c r="F48" i="20"/>
  <c r="E48" i="20"/>
  <c r="D48" i="20"/>
  <c r="D25" i="20" s="1"/>
  <c r="F51" i="20"/>
  <c r="E29" i="20"/>
  <c r="E31" i="20" s="1"/>
  <c r="D46" i="20"/>
  <c r="D49" i="20" s="1"/>
  <c r="E6" i="19"/>
  <c r="H48" i="19"/>
  <c r="G48" i="19"/>
  <c r="F48" i="19"/>
  <c r="E48" i="19"/>
  <c r="D48" i="19"/>
  <c r="D25" i="19" s="1"/>
  <c r="D50" i="19"/>
  <c r="F52" i="19"/>
  <c r="E29" i="19"/>
  <c r="E31" i="19" s="1"/>
  <c r="E6" i="18"/>
  <c r="D12" i="18"/>
  <c r="D13" i="18"/>
  <c r="E8" i="18" s="1"/>
  <c r="D15" i="18"/>
  <c r="H49" i="18"/>
  <c r="G49" i="18"/>
  <c r="F49" i="18"/>
  <c r="E49" i="18"/>
  <c r="D49" i="18"/>
  <c r="E64" i="18"/>
  <c r="F64" i="18" s="1"/>
  <c r="G64" i="18" s="1"/>
  <c r="H64" i="18" s="1"/>
  <c r="F63" i="18"/>
  <c r="G63" i="18" s="1"/>
  <c r="H63" i="18" s="1"/>
  <c r="D47" i="18"/>
  <c r="D53" i="18"/>
  <c r="E6" i="17"/>
  <c r="D11" i="17"/>
  <c r="D12" i="17"/>
  <c r="E8" i="17" s="1"/>
  <c r="D14" i="17"/>
  <c r="I28" i="17"/>
  <c r="H49" i="17"/>
  <c r="G49" i="17"/>
  <c r="F49" i="17"/>
  <c r="E49" i="17"/>
  <c r="D49" i="17"/>
  <c r="D24" i="17" s="1"/>
  <c r="D51" i="17"/>
  <c r="G55" i="17"/>
  <c r="F30" i="17"/>
  <c r="G64" i="17"/>
  <c r="F31" i="17"/>
  <c r="D23" i="5"/>
  <c r="D22" i="5"/>
  <c r="D51" i="18" l="1"/>
  <c r="D25" i="18"/>
  <c r="F33" i="17"/>
  <c r="I49" i="17"/>
  <c r="I49" i="18"/>
  <c r="I48" i="19"/>
  <c r="I48" i="20"/>
  <c r="G51" i="20"/>
  <c r="F29" i="20"/>
  <c r="E45" i="20"/>
  <c r="F44" i="20"/>
  <c r="F6" i="20"/>
  <c r="D17" i="20"/>
  <c r="D20" i="20" s="1"/>
  <c r="D24" i="20" s="1"/>
  <c r="G52" i="19"/>
  <c r="F29" i="19"/>
  <c r="F46" i="19"/>
  <c r="F6" i="19"/>
  <c r="D56" i="18"/>
  <c r="E53" i="18"/>
  <c r="D29" i="18"/>
  <c r="E46" i="18"/>
  <c r="F45" i="18"/>
  <c r="F6" i="18"/>
  <c r="D17" i="18"/>
  <c r="D20" i="18" s="1"/>
  <c r="D24" i="18" s="1"/>
  <c r="H64" i="17"/>
  <c r="H31" i="17" s="1"/>
  <c r="G31" i="17"/>
  <c r="I31" i="17" s="1"/>
  <c r="H55" i="17"/>
  <c r="G30" i="17"/>
  <c r="G33" i="17" s="1"/>
  <c r="E47" i="17"/>
  <c r="F46" i="17"/>
  <c r="F6" i="17"/>
  <c r="D16" i="17"/>
  <c r="D19" i="17" s="1"/>
  <c r="D23" i="17" s="1"/>
  <c r="C13" i="5"/>
  <c r="C55" i="1"/>
  <c r="C54" i="1"/>
  <c r="D23" i="1"/>
  <c r="D22" i="1"/>
  <c r="C53" i="1"/>
  <c r="C29" i="1" s="1"/>
  <c r="C32" i="1" s="1"/>
  <c r="D49" i="1"/>
  <c r="C56" i="1" l="1"/>
  <c r="H30" i="17"/>
  <c r="I55" i="17"/>
  <c r="G44" i="20"/>
  <c r="G6" i="20"/>
  <c r="E12" i="20"/>
  <c r="E13" i="20" s="1"/>
  <c r="E46" i="20"/>
  <c r="E49" i="20" s="1"/>
  <c r="E25" i="20"/>
  <c r="F31" i="20"/>
  <c r="H51" i="20"/>
  <c r="H29" i="20" s="1"/>
  <c r="H31" i="20" s="1"/>
  <c r="G29" i="20"/>
  <c r="G31" i="20" s="1"/>
  <c r="G46" i="19"/>
  <c r="G6" i="19"/>
  <c r="F31" i="19"/>
  <c r="H52" i="19"/>
  <c r="G29" i="19"/>
  <c r="G31" i="19" s="1"/>
  <c r="G45" i="18"/>
  <c r="G6" i="18"/>
  <c r="E12" i="18"/>
  <c r="E13" i="18" s="1"/>
  <c r="E47" i="18"/>
  <c r="E51" i="18" s="1"/>
  <c r="E25" i="18"/>
  <c r="D32" i="18"/>
  <c r="E56" i="18"/>
  <c r="F53" i="18"/>
  <c r="E29" i="18"/>
  <c r="E32" i="18" s="1"/>
  <c r="G46" i="17"/>
  <c r="G6" i="17"/>
  <c r="E11" i="17"/>
  <c r="E12" i="17" s="1"/>
  <c r="E51" i="17"/>
  <c r="E24" i="17"/>
  <c r="C13" i="1"/>
  <c r="I80" i="3"/>
  <c r="D32" i="3"/>
  <c r="I32" i="3" s="1"/>
  <c r="D22" i="3"/>
  <c r="D21" i="3"/>
  <c r="D31" i="3"/>
  <c r="H33" i="17" l="1"/>
  <c r="I33" i="17" s="1"/>
  <c r="F10" i="9" s="1"/>
  <c r="I30" i="17"/>
  <c r="H29" i="19"/>
  <c r="H31" i="19" s="1"/>
  <c r="I52" i="19"/>
  <c r="I29" i="20"/>
  <c r="I31" i="20"/>
  <c r="F25" i="9" s="1"/>
  <c r="F8" i="20"/>
  <c r="E15" i="20"/>
  <c r="H44" i="20"/>
  <c r="I44" i="20" s="1"/>
  <c r="H6" i="20"/>
  <c r="D27" i="20"/>
  <c r="D33" i="20" s="1"/>
  <c r="I29" i="19"/>
  <c r="I31" i="19"/>
  <c r="F20" i="9" s="1"/>
  <c r="H46" i="19"/>
  <c r="I46" i="19" s="1"/>
  <c r="H6" i="19"/>
  <c r="F56" i="18"/>
  <c r="G53" i="18"/>
  <c r="F29" i="18"/>
  <c r="F32" i="18" s="1"/>
  <c r="F8" i="18"/>
  <c r="E15" i="18"/>
  <c r="H45" i="18"/>
  <c r="I45" i="18" s="1"/>
  <c r="H6" i="18"/>
  <c r="D27" i="18"/>
  <c r="D34" i="18" s="1"/>
  <c r="F8" i="17"/>
  <c r="E14" i="17"/>
  <c r="H46" i="17"/>
  <c r="H6" i="17"/>
  <c r="D26" i="17"/>
  <c r="D35" i="17" s="1"/>
  <c r="C12" i="3"/>
  <c r="D35" i="20" l="1"/>
  <c r="D38" i="20" s="1"/>
  <c r="E17" i="20"/>
  <c r="E20" i="20" s="1"/>
  <c r="E24" i="20" s="1"/>
  <c r="F45" i="20"/>
  <c r="D36" i="18"/>
  <c r="D39" i="18" s="1"/>
  <c r="E17" i="18"/>
  <c r="E20" i="18" s="1"/>
  <c r="E24" i="18" s="1"/>
  <c r="F46" i="18"/>
  <c r="G56" i="18"/>
  <c r="H53" i="18"/>
  <c r="G29" i="18"/>
  <c r="D37" i="17"/>
  <c r="D40" i="17" s="1"/>
  <c r="I46" i="17"/>
  <c r="E16" i="17"/>
  <c r="E19" i="17" s="1"/>
  <c r="E23" i="17" s="1"/>
  <c r="F47" i="17"/>
  <c r="B38" i="7"/>
  <c r="B38" i="5"/>
  <c r="B39" i="1"/>
  <c r="B40" i="3"/>
  <c r="F12" i="20" l="1"/>
  <c r="F13" i="20" s="1"/>
  <c r="F46" i="20"/>
  <c r="F49" i="20" s="1"/>
  <c r="F25" i="20"/>
  <c r="G32" i="18"/>
  <c r="H56" i="18"/>
  <c r="I56" i="18" s="1"/>
  <c r="H29" i="18"/>
  <c r="H32" i="18" s="1"/>
  <c r="F12" i="18"/>
  <c r="F13" i="18" s="1"/>
  <c r="F47" i="18"/>
  <c r="F51" i="18" s="1"/>
  <c r="F25" i="18"/>
  <c r="F11" i="17"/>
  <c r="F12" i="17" s="1"/>
  <c r="F51" i="17"/>
  <c r="F24" i="17"/>
  <c r="B6" i="9"/>
  <c r="E19" i="7"/>
  <c r="F19" i="7"/>
  <c r="G19" i="7"/>
  <c r="H19" i="7"/>
  <c r="D19" i="7"/>
  <c r="E19" i="5"/>
  <c r="F19" i="5"/>
  <c r="G19" i="5"/>
  <c r="H19" i="5"/>
  <c r="D19" i="5"/>
  <c r="H19" i="1"/>
  <c r="E19" i="1"/>
  <c r="F19" i="1"/>
  <c r="G19" i="1"/>
  <c r="D19" i="1"/>
  <c r="H18" i="3"/>
  <c r="G18" i="3"/>
  <c r="F18" i="3"/>
  <c r="E18" i="3"/>
  <c r="D18" i="3"/>
  <c r="E27" i="20" l="1"/>
  <c r="E33" i="20" s="1"/>
  <c r="G8" i="20"/>
  <c r="F15" i="20"/>
  <c r="E27" i="18"/>
  <c r="E34" i="18" s="1"/>
  <c r="G8" i="18"/>
  <c r="F15" i="18"/>
  <c r="I29" i="18"/>
  <c r="I32" i="18"/>
  <c r="F15" i="9" s="1"/>
  <c r="F30" i="9" s="1"/>
  <c r="E26" i="17"/>
  <c r="E35" i="17" s="1"/>
  <c r="G8" i="17"/>
  <c r="F14" i="17"/>
  <c r="I52" i="7"/>
  <c r="I65" i="5"/>
  <c r="C29" i="3"/>
  <c r="C28" i="3"/>
  <c r="C33" i="3" s="1"/>
  <c r="F17" i="20" l="1"/>
  <c r="F20" i="20" s="1"/>
  <c r="F24" i="20" s="1"/>
  <c r="G45" i="20"/>
  <c r="E35" i="20"/>
  <c r="E38" i="20" s="1"/>
  <c r="F17" i="18"/>
  <c r="F20" i="18" s="1"/>
  <c r="F24" i="18" s="1"/>
  <c r="G46" i="18"/>
  <c r="E36" i="18"/>
  <c r="E39" i="18" s="1"/>
  <c r="F16" i="17"/>
  <c r="F19" i="17" s="1"/>
  <c r="F23" i="17" s="1"/>
  <c r="G47" i="17"/>
  <c r="E37" i="17"/>
  <c r="E40" i="17" s="1"/>
  <c r="I79" i="3"/>
  <c r="I75" i="3"/>
  <c r="I77" i="3"/>
  <c r="G12" i="20" l="1"/>
  <c r="G13" i="20" s="1"/>
  <c r="G46" i="20"/>
  <c r="G49" i="20" s="1"/>
  <c r="G25" i="20"/>
  <c r="G12" i="18"/>
  <c r="G13" i="18" s="1"/>
  <c r="G47" i="18"/>
  <c r="G51" i="18" s="1"/>
  <c r="G25" i="18"/>
  <c r="G11" i="17"/>
  <c r="G12" i="17" s="1"/>
  <c r="G51" i="17"/>
  <c r="G24" i="17"/>
  <c r="F27" i="20" l="1"/>
  <c r="F33" i="20" s="1"/>
  <c r="H8" i="20"/>
  <c r="G15" i="20"/>
  <c r="F27" i="18"/>
  <c r="F34" i="18" s="1"/>
  <c r="H8" i="18"/>
  <c r="G15" i="18"/>
  <c r="F26" i="17"/>
  <c r="F35" i="17" s="1"/>
  <c r="H8" i="17"/>
  <c r="G14" i="17"/>
  <c r="G17" i="20" l="1"/>
  <c r="G20" i="20" s="1"/>
  <c r="G24" i="20" s="1"/>
  <c r="H45" i="20"/>
  <c r="I45" i="20" s="1"/>
  <c r="F35" i="20"/>
  <c r="F38" i="20" s="1"/>
  <c r="G17" i="18"/>
  <c r="G20" i="18" s="1"/>
  <c r="G24" i="18" s="1"/>
  <c r="H46" i="18"/>
  <c r="I46" i="18" s="1"/>
  <c r="F36" i="18"/>
  <c r="F39" i="18" s="1"/>
  <c r="G16" i="17"/>
  <c r="G19" i="17" s="1"/>
  <c r="G23" i="17" s="1"/>
  <c r="H47" i="17"/>
  <c r="F37" i="17"/>
  <c r="F40" i="17" s="1"/>
  <c r="H12" i="20" l="1"/>
  <c r="H13" i="20" s="1"/>
  <c r="H15" i="20" s="1"/>
  <c r="H17" i="20" s="1"/>
  <c r="H20" i="20" s="1"/>
  <c r="H46" i="20"/>
  <c r="H49" i="20" s="1"/>
  <c r="I49" i="20" s="1"/>
  <c r="H25" i="20"/>
  <c r="I25" i="20" s="1"/>
  <c r="G27" i="20"/>
  <c r="I20" i="20"/>
  <c r="H12" i="18"/>
  <c r="H13" i="18" s="1"/>
  <c r="H15" i="18" s="1"/>
  <c r="H17" i="18" s="1"/>
  <c r="H20" i="18" s="1"/>
  <c r="H47" i="18"/>
  <c r="H25" i="18"/>
  <c r="I25" i="18" s="1"/>
  <c r="G27" i="18"/>
  <c r="I20" i="18"/>
  <c r="H11" i="17"/>
  <c r="H12" i="17" s="1"/>
  <c r="H14" i="17" s="1"/>
  <c r="H16" i="17" s="1"/>
  <c r="H19" i="17" s="1"/>
  <c r="H51" i="17"/>
  <c r="I51" i="17" s="1"/>
  <c r="H24" i="17"/>
  <c r="I24" i="17" s="1"/>
  <c r="I47" i="17"/>
  <c r="G26" i="17"/>
  <c r="I19" i="17"/>
  <c r="H24" i="20" l="1"/>
  <c r="H24" i="18"/>
  <c r="H51" i="18"/>
  <c r="I51" i="18" s="1"/>
  <c r="G35" i="17"/>
  <c r="G34" i="18"/>
  <c r="G33" i="20"/>
  <c r="H23" i="17"/>
  <c r="G35" i="20"/>
  <c r="G38" i="20" s="1"/>
  <c r="I24" i="20"/>
  <c r="I27" i="20" s="1"/>
  <c r="F24" i="9" s="1"/>
  <c r="G36" i="18"/>
  <c r="G39" i="18" s="1"/>
  <c r="I24" i="18"/>
  <c r="I27" i="18" s="1"/>
  <c r="F14" i="9" s="1"/>
  <c r="G37" i="17"/>
  <c r="G40" i="17" s="1"/>
  <c r="I23" i="17"/>
  <c r="I26" i="17" s="1"/>
  <c r="F9" i="9" s="1"/>
  <c r="H27" i="20" l="1"/>
  <c r="H33" i="20" s="1"/>
  <c r="H27" i="18"/>
  <c r="H34" i="18" s="1"/>
  <c r="H26" i="17"/>
  <c r="H35" i="17" s="1"/>
  <c r="H35" i="20" l="1"/>
  <c r="H38" i="20" s="1"/>
  <c r="I38" i="20" s="1"/>
  <c r="F26" i="9" s="1"/>
  <c r="H36" i="18"/>
  <c r="H39" i="18" s="1"/>
  <c r="I39" i="18" s="1"/>
  <c r="F16" i="9" s="1"/>
  <c r="H37" i="17"/>
  <c r="H40" i="17" s="1"/>
  <c r="I40" i="17" s="1"/>
  <c r="F11" i="9" s="1"/>
  <c r="I60" i="7" l="1"/>
  <c r="I61" i="7"/>
  <c r="I62" i="7"/>
  <c r="I63" i="7"/>
  <c r="I64" i="7"/>
  <c r="I59" i="7"/>
  <c r="I75" i="1" l="1"/>
  <c r="I76" i="1"/>
  <c r="I77" i="1"/>
  <c r="I78" i="1"/>
  <c r="I79" i="1"/>
  <c r="I74" i="1"/>
  <c r="E53" i="7" l="1"/>
  <c r="F53" i="7" s="1"/>
  <c r="G53" i="7" s="1"/>
  <c r="H53" i="7" s="1"/>
  <c r="D51" i="7"/>
  <c r="H48" i="7"/>
  <c r="G48" i="7"/>
  <c r="F48" i="7"/>
  <c r="E48" i="7"/>
  <c r="D48" i="7"/>
  <c r="E42" i="7"/>
  <c r="F42" i="7" s="1"/>
  <c r="G42" i="7" s="1"/>
  <c r="H42" i="7" s="1"/>
  <c r="H23" i="7"/>
  <c r="G23" i="7"/>
  <c r="F23" i="7"/>
  <c r="E23" i="7"/>
  <c r="I23" i="7"/>
  <c r="I22" i="7"/>
  <c r="C15" i="7"/>
  <c r="D8" i="7"/>
  <c r="D45" i="7" s="1"/>
  <c r="D46" i="7" s="1"/>
  <c r="D6" i="7"/>
  <c r="E44" i="7" s="1"/>
  <c r="E51" i="7" l="1"/>
  <c r="D29" i="7"/>
  <c r="D31" i="7" s="1"/>
  <c r="D25" i="7"/>
  <c r="I48" i="7"/>
  <c r="D49" i="7"/>
  <c r="D12" i="7"/>
  <c r="E6" i="7"/>
  <c r="D13" i="7"/>
  <c r="E8" i="7" s="1"/>
  <c r="D15" i="7"/>
  <c r="F51" i="7"/>
  <c r="E29" i="7"/>
  <c r="E31" i="7" s="1"/>
  <c r="E45" i="7" l="1"/>
  <c r="E12" i="7"/>
  <c r="G51" i="7"/>
  <c r="F29" i="7"/>
  <c r="F44" i="7"/>
  <c r="F6" i="7"/>
  <c r="D17" i="7"/>
  <c r="D20" i="7" s="1"/>
  <c r="E46" i="7" l="1"/>
  <c r="E49" i="7" s="1"/>
  <c r="D24" i="7"/>
  <c r="G44" i="7"/>
  <c r="G6" i="7"/>
  <c r="E13" i="7"/>
  <c r="E25" i="7"/>
  <c r="F31" i="7"/>
  <c r="H51" i="7"/>
  <c r="H29" i="7" s="1"/>
  <c r="H31" i="7" s="1"/>
  <c r="G29" i="7"/>
  <c r="G31" i="7" s="1"/>
  <c r="I29" i="7" l="1"/>
  <c r="I31" i="7"/>
  <c r="B25" i="9" s="1"/>
  <c r="F8" i="7"/>
  <c r="E15" i="7"/>
  <c r="H44" i="7"/>
  <c r="I44" i="7" s="1"/>
  <c r="H6" i="7"/>
  <c r="D27" i="7"/>
  <c r="D33" i="7" s="1"/>
  <c r="F45" i="7" l="1"/>
  <c r="F12" i="7"/>
  <c r="D35" i="7"/>
  <c r="D38" i="7" s="1"/>
  <c r="E17" i="7"/>
  <c r="E20" i="7" s="1"/>
  <c r="F46" i="7" l="1"/>
  <c r="F49" i="7" s="1"/>
  <c r="F13" i="7"/>
  <c r="F25" i="7"/>
  <c r="E24" i="7"/>
  <c r="E27" i="7" l="1"/>
  <c r="E33" i="7" s="1"/>
  <c r="G8" i="7"/>
  <c r="F15" i="7"/>
  <c r="G45" i="7" l="1"/>
  <c r="G12" i="7"/>
  <c r="F17" i="7"/>
  <c r="F20" i="7" s="1"/>
  <c r="E35" i="7"/>
  <c r="E38" i="7" s="1"/>
  <c r="G46" i="7" l="1"/>
  <c r="G49" i="7" s="1"/>
  <c r="G13" i="7"/>
  <c r="G25" i="7"/>
  <c r="F24" i="7"/>
  <c r="F27" i="7" l="1"/>
  <c r="F33" i="7" s="1"/>
  <c r="H8" i="7"/>
  <c r="G15" i="7"/>
  <c r="H45" i="7" l="1"/>
  <c r="H12" i="7"/>
  <c r="G17" i="7"/>
  <c r="G20" i="7" s="1"/>
  <c r="F35" i="7"/>
  <c r="F38" i="7" s="1"/>
  <c r="H46" i="7" l="1"/>
  <c r="H49" i="7" s="1"/>
  <c r="I49" i="7" s="1"/>
  <c r="I45" i="7"/>
  <c r="H13" i="7"/>
  <c r="H15" i="7" s="1"/>
  <c r="H17" i="7" s="1"/>
  <c r="H20" i="7" s="1"/>
  <c r="H25" i="7"/>
  <c r="I25" i="7" s="1"/>
  <c r="G24" i="7"/>
  <c r="G27" i="7" s="1"/>
  <c r="G33" i="7" s="1"/>
  <c r="I20" i="7"/>
  <c r="G35" i="7" l="1"/>
  <c r="G38" i="7" s="1"/>
  <c r="H24" i="7"/>
  <c r="I24" i="7" s="1"/>
  <c r="I27" i="7" s="1"/>
  <c r="B24" i="9" s="1"/>
  <c r="H27" i="7" l="1"/>
  <c r="H33" i="7" s="1"/>
  <c r="H35" i="7" l="1"/>
  <c r="H38" i="7" s="1"/>
  <c r="D54" i="5" l="1"/>
  <c r="E54" i="5" s="1"/>
  <c r="F54" i="5" s="1"/>
  <c r="G54" i="5" s="1"/>
  <c r="H54" i="5" s="1"/>
  <c r="H48" i="5"/>
  <c r="G48" i="5"/>
  <c r="F48" i="5"/>
  <c r="E48" i="5"/>
  <c r="D48" i="5"/>
  <c r="E44" i="5"/>
  <c r="F44" i="5" s="1"/>
  <c r="G44" i="5" s="1"/>
  <c r="H44" i="5" s="1"/>
  <c r="E42" i="5"/>
  <c r="F42" i="5" s="1"/>
  <c r="G42" i="5" s="1"/>
  <c r="H42" i="5" s="1"/>
  <c r="H23" i="5"/>
  <c r="G23" i="5"/>
  <c r="F23" i="5"/>
  <c r="E23" i="5"/>
  <c r="I23" i="5"/>
  <c r="I22" i="5"/>
  <c r="C15" i="5"/>
  <c r="D8" i="5"/>
  <c r="D47" i="5" s="1"/>
  <c r="D6" i="5"/>
  <c r="E46" i="5" s="1"/>
  <c r="D25" i="5" l="1"/>
  <c r="I48" i="5"/>
  <c r="I38" i="7"/>
  <c r="B26" i="9" s="1"/>
  <c r="E6" i="5"/>
  <c r="D12" i="5"/>
  <c r="D13" i="5"/>
  <c r="E8" i="5" s="1"/>
  <c r="E47" i="5" s="1"/>
  <c r="D15" i="5"/>
  <c r="D50" i="5"/>
  <c r="F46" i="5" l="1"/>
  <c r="F6" i="5"/>
  <c r="D17" i="5"/>
  <c r="D20" i="5" s="1"/>
  <c r="D24" i="5" l="1"/>
  <c r="G46" i="5"/>
  <c r="G6" i="5"/>
  <c r="E12" i="5"/>
  <c r="E13" i="5" s="1"/>
  <c r="E50" i="5"/>
  <c r="E25" i="5"/>
  <c r="F8" i="5" l="1"/>
  <c r="F47" i="5" s="1"/>
  <c r="E15" i="5"/>
  <c r="H46" i="5"/>
  <c r="I46" i="5" s="1"/>
  <c r="H6" i="5"/>
  <c r="D27" i="5"/>
  <c r="E17" i="5" l="1"/>
  <c r="E20" i="5" s="1"/>
  <c r="F12" i="5" l="1"/>
  <c r="F13" i="5" s="1"/>
  <c r="F50" i="5"/>
  <c r="F25" i="5"/>
  <c r="E24" i="5"/>
  <c r="E27" i="5" l="1"/>
  <c r="G8" i="5"/>
  <c r="F15" i="5"/>
  <c r="G47" i="5" l="1"/>
  <c r="F17" i="5"/>
  <c r="F20" i="5" s="1"/>
  <c r="G12" i="5" l="1"/>
  <c r="G13" i="5" s="1"/>
  <c r="G50" i="5"/>
  <c r="G25" i="5"/>
  <c r="F24" i="5"/>
  <c r="F27" i="5" l="1"/>
  <c r="H8" i="5"/>
  <c r="H47" i="5" s="1"/>
  <c r="I47" i="5" s="1"/>
  <c r="G15" i="5"/>
  <c r="G17" i="5" l="1"/>
  <c r="G20" i="5" s="1"/>
  <c r="H12" i="5" l="1"/>
  <c r="H13" i="5" s="1"/>
  <c r="H15" i="5" s="1"/>
  <c r="H17" i="5" s="1"/>
  <c r="H20" i="5" s="1"/>
  <c r="H50" i="5"/>
  <c r="H25" i="5"/>
  <c r="I25" i="5" s="1"/>
  <c r="G24" i="5"/>
  <c r="G27" i="5" s="1"/>
  <c r="I20" i="5"/>
  <c r="I50" i="5" l="1"/>
  <c r="H24" i="5"/>
  <c r="I24" i="5" s="1"/>
  <c r="I27" i="5" s="1"/>
  <c r="B19" i="9" s="1"/>
  <c r="H27" i="5" l="1"/>
  <c r="E64" i="3" l="1"/>
  <c r="D63" i="3"/>
  <c r="E63" i="3" s="1"/>
  <c r="F63" i="3" s="1"/>
  <c r="G63" i="3" s="1"/>
  <c r="H63" i="3" s="1"/>
  <c r="D62" i="3"/>
  <c r="E62" i="3" s="1"/>
  <c r="F62" i="3" s="1"/>
  <c r="G62" i="3" s="1"/>
  <c r="H62" i="3" s="1"/>
  <c r="D55" i="3"/>
  <c r="D54" i="3"/>
  <c r="D53" i="3"/>
  <c r="H49" i="3"/>
  <c r="G49" i="3"/>
  <c r="F49" i="3"/>
  <c r="E49" i="3"/>
  <c r="D49" i="3"/>
  <c r="I49" i="3" s="1"/>
  <c r="E44" i="3"/>
  <c r="F44" i="3" s="1"/>
  <c r="G44" i="3" s="1"/>
  <c r="H44" i="3" s="1"/>
  <c r="H22" i="3"/>
  <c r="G22" i="3"/>
  <c r="F22" i="3"/>
  <c r="E22" i="3"/>
  <c r="I22" i="3"/>
  <c r="I21" i="3"/>
  <c r="C14" i="3"/>
  <c r="D8" i="3"/>
  <c r="D47" i="3" s="1"/>
  <c r="D24" i="3" s="1"/>
  <c r="E53" i="3" l="1"/>
  <c r="D28" i="3"/>
  <c r="E54" i="3"/>
  <c r="D29" i="3"/>
  <c r="E55" i="3"/>
  <c r="D30" i="3"/>
  <c r="F64" i="3"/>
  <c r="E31" i="3"/>
  <c r="E30" i="3"/>
  <c r="D6" i="3"/>
  <c r="E46" i="3" s="1"/>
  <c r="E6" i="3"/>
  <c r="D11" i="3"/>
  <c r="D12" i="3"/>
  <c r="E8" i="3" s="1"/>
  <c r="E47" i="3" s="1"/>
  <c r="D14" i="3"/>
  <c r="D51" i="3"/>
  <c r="F53" i="3"/>
  <c r="E28" i="3"/>
  <c r="F54" i="3"/>
  <c r="E29" i="3"/>
  <c r="F55" i="3"/>
  <c r="D33" i="3" l="1"/>
  <c r="G64" i="3"/>
  <c r="F31" i="3"/>
  <c r="F30" i="3"/>
  <c r="G55" i="3"/>
  <c r="G54" i="3"/>
  <c r="F29" i="3"/>
  <c r="E33" i="3"/>
  <c r="G53" i="3"/>
  <c r="F28" i="3"/>
  <c r="F46" i="3"/>
  <c r="F6" i="3"/>
  <c r="D16" i="3"/>
  <c r="D19" i="3" l="1"/>
  <c r="D23" i="3" s="1"/>
  <c r="H64" i="3"/>
  <c r="G31" i="3"/>
  <c r="G30" i="3"/>
  <c r="G46" i="3"/>
  <c r="G6" i="3"/>
  <c r="E11" i="3"/>
  <c r="E51" i="3"/>
  <c r="E24" i="3"/>
  <c r="F33" i="3"/>
  <c r="H53" i="3"/>
  <c r="I53" i="3" s="1"/>
  <c r="G28" i="3"/>
  <c r="H54" i="3"/>
  <c r="G29" i="3"/>
  <c r="H55" i="3"/>
  <c r="I55" i="3" s="1"/>
  <c r="H29" i="3" l="1"/>
  <c r="I54" i="3"/>
  <c r="H31" i="3"/>
  <c r="I31" i="3" s="1"/>
  <c r="H30" i="3"/>
  <c r="H28" i="3"/>
  <c r="E12" i="3"/>
  <c r="I30" i="3"/>
  <c r="I29" i="3"/>
  <c r="G33" i="3"/>
  <c r="H33" i="3"/>
  <c r="I28" i="3"/>
  <c r="F8" i="3"/>
  <c r="F47" i="3" s="1"/>
  <c r="E14" i="3"/>
  <c r="H46" i="3"/>
  <c r="I46" i="3" s="1"/>
  <c r="H6" i="3"/>
  <c r="D26" i="3"/>
  <c r="D35" i="3" s="1"/>
  <c r="D37" i="3" l="1"/>
  <c r="D40" i="3" s="1"/>
  <c r="E16" i="3"/>
  <c r="E19" i="3" s="1"/>
  <c r="I33" i="3"/>
  <c r="B10" i="9" s="1"/>
  <c r="F11" i="3" l="1"/>
  <c r="F51" i="3"/>
  <c r="F24" i="3"/>
  <c r="E23" i="3"/>
  <c r="E26" i="3" s="1"/>
  <c r="F12" i="3" l="1"/>
  <c r="E35" i="3"/>
  <c r="G8" i="3"/>
  <c r="G47" i="3" s="1"/>
  <c r="F14" i="3"/>
  <c r="F16" i="3" l="1"/>
  <c r="F19" i="3" s="1"/>
  <c r="E37" i="3"/>
  <c r="E40" i="3" s="1"/>
  <c r="G11" i="3" l="1"/>
  <c r="G51" i="3"/>
  <c r="G24" i="3"/>
  <c r="F23" i="3"/>
  <c r="F26" i="3" s="1"/>
  <c r="G12" i="3" l="1"/>
  <c r="F35" i="3"/>
  <c r="H8" i="3"/>
  <c r="H47" i="3" s="1"/>
  <c r="G14" i="3"/>
  <c r="G16" i="3" l="1"/>
  <c r="G19" i="3" s="1"/>
  <c r="F37" i="3"/>
  <c r="F40" i="3" s="1"/>
  <c r="I47" i="3" l="1"/>
  <c r="H11" i="3"/>
  <c r="H51" i="3"/>
  <c r="I51" i="3" s="1"/>
  <c r="H24" i="3"/>
  <c r="I24" i="3" s="1"/>
  <c r="G23" i="3"/>
  <c r="G26" i="3" l="1"/>
  <c r="G35" i="3" s="1"/>
  <c r="H12" i="3"/>
  <c r="H14" i="3" s="1"/>
  <c r="G37" i="3" l="1"/>
  <c r="G40" i="3" s="1"/>
  <c r="H16" i="3"/>
  <c r="H19" i="3" s="1"/>
  <c r="I19" i="3" l="1"/>
  <c r="H23" i="3"/>
  <c r="H26" i="3" s="1"/>
  <c r="I23" i="3" l="1"/>
  <c r="I26" i="3" s="1"/>
  <c r="B9" i="9" s="1"/>
  <c r="H35" i="3"/>
  <c r="D65" i="1"/>
  <c r="E65" i="1" s="1"/>
  <c r="F65" i="1" s="1"/>
  <c r="G65" i="1" s="1"/>
  <c r="H65" i="1" s="1"/>
  <c r="D64" i="1"/>
  <c r="D55" i="1"/>
  <c r="E55" i="1" s="1"/>
  <c r="F55" i="1" s="1"/>
  <c r="G55" i="1" s="1"/>
  <c r="H55" i="1" s="1"/>
  <c r="D54" i="1"/>
  <c r="E54" i="1" l="1"/>
  <c r="F54" i="1" s="1"/>
  <c r="G54" i="1" s="1"/>
  <c r="H54" i="1" s="1"/>
  <c r="H37" i="3"/>
  <c r="H40" i="3" s="1"/>
  <c r="I40" i="3" s="1"/>
  <c r="B11" i="9" s="1"/>
  <c r="E23" i="1"/>
  <c r="F23" i="1"/>
  <c r="G23" i="1"/>
  <c r="H23" i="1"/>
  <c r="I22" i="1" l="1"/>
  <c r="E49" i="1"/>
  <c r="F49" i="1"/>
  <c r="G49" i="1"/>
  <c r="H49" i="1"/>
  <c r="I49" i="1" l="1"/>
  <c r="D45" i="1"/>
  <c r="E43" i="1"/>
  <c r="F43" i="1" s="1"/>
  <c r="G43" i="1" s="1"/>
  <c r="H43" i="1" s="1"/>
  <c r="D66" i="1"/>
  <c r="E66" i="1"/>
  <c r="F66" i="1"/>
  <c r="G66" i="1"/>
  <c r="H66" i="1"/>
  <c r="D63" i="1"/>
  <c r="E63" i="1" s="1"/>
  <c r="D58" i="1"/>
  <c r="D30" i="1" s="1"/>
  <c r="E58" i="1"/>
  <c r="E30" i="1" s="1"/>
  <c r="F58" i="1"/>
  <c r="F30" i="1" s="1"/>
  <c r="G58" i="1"/>
  <c r="G30" i="1" s="1"/>
  <c r="H58" i="1"/>
  <c r="D53" i="1"/>
  <c r="D29" i="1" s="1"/>
  <c r="H30" i="1" l="1"/>
  <c r="I58" i="1"/>
  <c r="F63" i="1"/>
  <c r="G63" i="1" s="1"/>
  <c r="H63" i="1" s="1"/>
  <c r="E64" i="1"/>
  <c r="F64" i="1" s="1"/>
  <c r="G64" i="1" s="1"/>
  <c r="H64" i="1" s="1"/>
  <c r="D6" i="1"/>
  <c r="D56" i="1"/>
  <c r="I23" i="1"/>
  <c r="D32" i="1"/>
  <c r="E45" i="1"/>
  <c r="E53" i="1"/>
  <c r="C15" i="1"/>
  <c r="D8" i="1"/>
  <c r="D46" i="1" s="1"/>
  <c r="D47" i="1" l="1"/>
  <c r="D51" i="1" s="1"/>
  <c r="D25" i="1"/>
  <c r="E29" i="1"/>
  <c r="E56" i="1"/>
  <c r="E6" i="1"/>
  <c r="F45" i="1" s="1"/>
  <c r="F53" i="1"/>
  <c r="E32" i="1"/>
  <c r="I30" i="1"/>
  <c r="F29" i="1" l="1"/>
  <c r="F56" i="1"/>
  <c r="F6" i="1"/>
  <c r="G45" i="1" s="1"/>
  <c r="D12" i="1"/>
  <c r="D13" i="1" s="1"/>
  <c r="E8" i="1"/>
  <c r="E46" i="1" s="1"/>
  <c r="D15" i="1"/>
  <c r="G53" i="1"/>
  <c r="F32" i="1"/>
  <c r="G29" i="1" l="1"/>
  <c r="G56" i="1"/>
  <c r="E47" i="1"/>
  <c r="E51" i="1" s="1"/>
  <c r="G6" i="1"/>
  <c r="H45" i="1" s="1"/>
  <c r="I45" i="1" s="1"/>
  <c r="D17" i="1"/>
  <c r="H53" i="1"/>
  <c r="G32" i="1"/>
  <c r="D20" i="1" l="1"/>
  <c r="D24" i="1" s="1"/>
  <c r="H29" i="1"/>
  <c r="H56" i="1"/>
  <c r="I56" i="1" s="1"/>
  <c r="H6" i="1"/>
  <c r="E12" i="1"/>
  <c r="E13" i="1" s="1"/>
  <c r="E25" i="1"/>
  <c r="F8" i="1"/>
  <c r="F46" i="1" s="1"/>
  <c r="E15" i="1"/>
  <c r="H32" i="1"/>
  <c r="I29" i="1"/>
  <c r="I32" i="1"/>
  <c r="B15" i="9" s="1"/>
  <c r="F47" i="1" l="1"/>
  <c r="F51" i="1" s="1"/>
  <c r="D27" i="1"/>
  <c r="D34" i="1" s="1"/>
  <c r="E17" i="1"/>
  <c r="E20" i="1" s="1"/>
  <c r="E24" i="1" s="1"/>
  <c r="D36" i="1" l="1"/>
  <c r="D39" i="1" s="1"/>
  <c r="F12" i="1"/>
  <c r="F13" i="1" s="1"/>
  <c r="F25" i="1"/>
  <c r="G8" i="1"/>
  <c r="G46" i="1" s="1"/>
  <c r="F15" i="1"/>
  <c r="G47" i="1" l="1"/>
  <c r="G51" i="1" s="1"/>
  <c r="E27" i="1"/>
  <c r="E34" i="1" s="1"/>
  <c r="E36" i="1"/>
  <c r="E39" i="1" s="1"/>
  <c r="F17" i="1"/>
  <c r="F20" i="1" s="1"/>
  <c r="F24" i="1" s="1"/>
  <c r="G12" i="1" l="1"/>
  <c r="G13" i="1" s="1"/>
  <c r="G25" i="1"/>
  <c r="H8" i="1"/>
  <c r="H46" i="1" s="1"/>
  <c r="I46" i="1" s="1"/>
  <c r="G15" i="1"/>
  <c r="H47" i="1" l="1"/>
  <c r="H51" i="1" s="1"/>
  <c r="F27" i="1"/>
  <c r="F34" i="1" s="1"/>
  <c r="F36" i="1"/>
  <c r="F39" i="1" s="1"/>
  <c r="G17" i="1"/>
  <c r="G20" i="1" s="1"/>
  <c r="G24" i="1" s="1"/>
  <c r="I51" i="1" l="1"/>
  <c r="H12" i="1"/>
  <c r="H13" i="1" s="1"/>
  <c r="H15" i="1" s="1"/>
  <c r="H17" i="1" s="1"/>
  <c r="H20" i="1" s="1"/>
  <c r="H25" i="1"/>
  <c r="I25" i="1" s="1"/>
  <c r="I20" i="1" l="1"/>
  <c r="H24" i="1"/>
  <c r="G27" i="1"/>
  <c r="G34" i="1"/>
  <c r="H27" i="1"/>
  <c r="I24" i="1" l="1"/>
  <c r="I27" i="1" s="1"/>
  <c r="B14" i="9" s="1"/>
  <c r="B29" i="9" s="1"/>
  <c r="G36" i="1"/>
  <c r="G39" i="1" s="1"/>
  <c r="H34" i="1"/>
  <c r="H36" i="1" l="1"/>
  <c r="H39" i="1" s="1"/>
  <c r="I39" i="1" s="1"/>
  <c r="B16" i="9" s="1"/>
  <c r="D52" i="5"/>
  <c r="D29" i="5" s="1"/>
  <c r="E52" i="5"/>
  <c r="E29" i="5" s="1"/>
  <c r="E31" i="5" s="1"/>
  <c r="E33" i="5" s="1"/>
  <c r="F52" i="5"/>
  <c r="F29" i="5" s="1"/>
  <c r="F31" i="5" s="1"/>
  <c r="F33" i="5" s="1"/>
  <c r="G52" i="5"/>
  <c r="G29" i="5" s="1"/>
  <c r="G31" i="5" s="1"/>
  <c r="G33" i="5" s="1"/>
  <c r="H52" i="5"/>
  <c r="I52" i="5" s="1"/>
  <c r="H29" i="5"/>
  <c r="H31" i="5"/>
  <c r="H33" i="5"/>
  <c r="H35" i="5"/>
  <c r="H38" i="5" s="1"/>
  <c r="G35" i="5" l="1"/>
  <c r="G38" i="5" s="1"/>
  <c r="F35" i="5"/>
  <c r="F38" i="5" s="1"/>
  <c r="E35" i="5"/>
  <c r="E38" i="5" s="1"/>
  <c r="I29" i="5"/>
  <c r="D31" i="5"/>
  <c r="I31" i="5" l="1"/>
  <c r="B20" i="9" s="1"/>
  <c r="B30" i="9" s="1"/>
  <c r="D33" i="5"/>
  <c r="D35" i="5" l="1"/>
  <c r="D38" i="5" s="1"/>
  <c r="I38" i="5" s="1"/>
  <c r="B21" i="9" s="1"/>
  <c r="B31" i="9" l="1"/>
  <c r="D6" i="9" l="1"/>
  <c r="D13" i="19"/>
  <c r="E8" i="19" s="1"/>
  <c r="D15" i="19"/>
  <c r="D17" i="19"/>
  <c r="D20" i="19"/>
  <c r="D24" i="19" s="1"/>
  <c r="D27" i="19" l="1"/>
  <c r="D33" i="19" s="1"/>
  <c r="E47" i="19"/>
  <c r="E12" i="19" l="1"/>
  <c r="E13" i="19" s="1"/>
  <c r="E50" i="19"/>
  <c r="E25" i="19"/>
  <c r="D35" i="19"/>
  <c r="D38" i="19" s="1"/>
  <c r="E15" i="19" l="1"/>
  <c r="F8" i="19"/>
  <c r="F47" i="19" l="1"/>
  <c r="E17" i="19"/>
  <c r="E20" i="19" s="1"/>
  <c r="E24" i="19" l="1"/>
  <c r="E27" i="19"/>
  <c r="E33" i="19" s="1"/>
  <c r="F12" i="19"/>
  <c r="F13" i="19" s="1"/>
  <c r="F50" i="19"/>
  <c r="F25" i="19"/>
  <c r="F15" i="19" l="1"/>
  <c r="G8" i="19"/>
  <c r="E35" i="19"/>
  <c r="E38" i="19" s="1"/>
  <c r="G47" i="19" l="1"/>
  <c r="F17" i="19"/>
  <c r="F20" i="19" s="1"/>
  <c r="F24" i="19" l="1"/>
  <c r="F27" i="19"/>
  <c r="F33" i="19" s="1"/>
  <c r="G12" i="19"/>
  <c r="G13" i="19" s="1"/>
  <c r="G50" i="19"/>
  <c r="G25" i="19"/>
  <c r="H8" i="19" l="1"/>
  <c r="G15" i="19"/>
  <c r="F35" i="19"/>
  <c r="F38" i="19" s="1"/>
  <c r="G17" i="19" l="1"/>
  <c r="G20" i="19" s="1"/>
  <c r="H47" i="19"/>
  <c r="H12" i="19" l="1"/>
  <c r="H13" i="19" s="1"/>
  <c r="H15" i="19" s="1"/>
  <c r="H17" i="19" s="1"/>
  <c r="H20" i="19" s="1"/>
  <c r="H50" i="19"/>
  <c r="I50" i="19" s="1"/>
  <c r="H25" i="19"/>
  <c r="I25" i="19" s="1"/>
  <c r="I47" i="19"/>
  <c r="G24" i="19"/>
  <c r="G27" i="19"/>
  <c r="G33" i="19" s="1"/>
  <c r="I20" i="19"/>
  <c r="G35" i="19" l="1"/>
  <c r="G38" i="19" s="1"/>
  <c r="H24" i="19"/>
  <c r="I24" i="19" s="1"/>
  <c r="I27" i="19" s="1"/>
  <c r="F19" i="9" s="1"/>
  <c r="F29" i="9" s="1"/>
  <c r="F33" i="9" s="1"/>
  <c r="H27" i="19"/>
  <c r="H33" i="19" s="1"/>
  <c r="H35" i="19" l="1"/>
  <c r="H38" i="19" s="1"/>
  <c r="I38" i="19" s="1"/>
  <c r="F21" i="9" s="1"/>
  <c r="F31" i="9" s="1"/>
</calcChain>
</file>

<file path=xl/comments1.xml><?xml version="1.0" encoding="utf-8"?>
<comments xmlns="http://schemas.openxmlformats.org/spreadsheetml/2006/main">
  <authors>
    <author>Kristina Cooper</author>
  </authors>
  <commentList>
    <comment ref="D4" authorId="0">
      <text>
        <r>
          <rPr>
            <b/>
            <sz val="8"/>
            <color indexed="81"/>
            <rFont val="Tahoma"/>
            <family val="2"/>
          </rPr>
          <t>Kristina Cooper:</t>
        </r>
        <r>
          <rPr>
            <sz val="8"/>
            <color indexed="81"/>
            <rFont val="Tahoma"/>
            <family val="2"/>
          </rPr>
          <t xml:space="preserve">
The mid-point WACC outcomes need to be manually updated.  Change the WACC in cells B35 and B36 to the desired WACC (ie the figures shown in cells D4 and D5 or other alternatives) and then paste the results from column F to column D.  Then change the WACC in cells B35 and B36 back to the upper end of the desired WACC range (in this case the WACC shown in cells F4 and F5)</t>
        </r>
      </text>
    </comment>
  </commentList>
</comments>
</file>

<file path=xl/comments2.xml><?xml version="1.0" encoding="utf-8"?>
<comments xmlns="http://schemas.openxmlformats.org/spreadsheetml/2006/main">
  <authors>
    <author>Stanley Hsieh</author>
  </authors>
  <commentList>
    <comment ref="D78" authorId="0">
      <text>
        <r>
          <rPr>
            <b/>
            <sz val="9"/>
            <color rgb="FF000000"/>
            <rFont val="Tahoma"/>
            <family val="2"/>
          </rPr>
          <t xml:space="preserve">Stanley Hsieh:
</t>
        </r>
        <r>
          <rPr>
            <sz val="9"/>
            <color rgb="FF000000"/>
            <rFont val="Tahoma"/>
            <family val="2"/>
          </rPr>
          <t xml:space="preserve">Full revaluation is passed through here
</t>
        </r>
      </text>
    </comment>
  </commentList>
</comments>
</file>

<file path=xl/comments3.xml><?xml version="1.0" encoding="utf-8"?>
<comments xmlns="http://schemas.openxmlformats.org/spreadsheetml/2006/main">
  <authors>
    <author>Stanley Hsieh</author>
  </authors>
  <commentList>
    <comment ref="D78" authorId="0">
      <text>
        <r>
          <rPr>
            <b/>
            <sz val="9"/>
            <color rgb="FF000000"/>
            <rFont val="Tahoma"/>
            <family val="2"/>
          </rPr>
          <t xml:space="preserve">Stanley Hsieh:
</t>
        </r>
        <r>
          <rPr>
            <sz val="9"/>
            <color rgb="FF000000"/>
            <rFont val="Tahoma"/>
            <family val="2"/>
          </rPr>
          <t xml:space="preserve">Full revaluation is passed through here
</t>
        </r>
      </text>
    </comment>
  </commentList>
</comments>
</file>

<file path=xl/sharedStrings.xml><?xml version="1.0" encoding="utf-8"?>
<sst xmlns="http://schemas.openxmlformats.org/spreadsheetml/2006/main" count="507" uniqueCount="130">
  <si>
    <t>Airfield</t>
  </si>
  <si>
    <t>Total</t>
  </si>
  <si>
    <t>Fixed Assets</t>
  </si>
  <si>
    <t>Non land opening Value</t>
  </si>
  <si>
    <t>Depreciation</t>
  </si>
  <si>
    <t>Capex</t>
  </si>
  <si>
    <t>Non Land Closing Value</t>
  </si>
  <si>
    <t>Total Fixed Assets (Closing Value)</t>
  </si>
  <si>
    <t>Average Capital Employed</t>
  </si>
  <si>
    <t>WACC</t>
  </si>
  <si>
    <t>Required Return on Assets</t>
  </si>
  <si>
    <t>Operating Costs</t>
  </si>
  <si>
    <t>Tax</t>
  </si>
  <si>
    <t>Total Aeronautical Revenue Required</t>
  </si>
  <si>
    <t>Other income</t>
  </si>
  <si>
    <t>Forecast Revenue</t>
  </si>
  <si>
    <t>Surplus (Shortfall) after tax</t>
  </si>
  <si>
    <t>NPV outcome (after tax)</t>
  </si>
  <si>
    <t>Jet MCTOW revenue</t>
  </si>
  <si>
    <t>Turboprop MCTOW revenue</t>
  </si>
  <si>
    <t>Jet MCTOW Growth</t>
  </si>
  <si>
    <t>Turboprop MCTOW Growth</t>
  </si>
  <si>
    <t>Jet Charge Increase</t>
  </si>
  <si>
    <t>Turboprop charge increase</t>
  </si>
  <si>
    <t>Jet MCTOW</t>
  </si>
  <si>
    <t xml:space="preserve">Turboprop MCTOW </t>
  </si>
  <si>
    <t>CIAL Forecast</t>
  </si>
  <si>
    <t>Jet MCTOW Charge</t>
  </si>
  <si>
    <t>Turboprop MCTOW Charge</t>
  </si>
  <si>
    <t xml:space="preserve">Fixed movement charge increase </t>
  </si>
  <si>
    <t>Fixed movement charge</t>
  </si>
  <si>
    <t>Number of movements</t>
  </si>
  <si>
    <t>Movement growth</t>
  </si>
  <si>
    <t>CPI Forecast</t>
  </si>
  <si>
    <t>Asset revaluation - land</t>
  </si>
  <si>
    <t>Asset revaluation - specialised assets</t>
  </si>
  <si>
    <t>Previous revaluations</t>
  </si>
  <si>
    <t>Revaluation</t>
  </si>
  <si>
    <t>Operational expenditure (Pre-tax)</t>
  </si>
  <si>
    <t>Depreciation (Pre-tax)</t>
  </si>
  <si>
    <t>Capital charge (Pre-Tax) - Low WACC</t>
  </si>
  <si>
    <t>Less revaluations indexation</t>
  </si>
  <si>
    <t>Less revaluations 09-12</t>
  </si>
  <si>
    <t>Full cost of service</t>
  </si>
  <si>
    <t>Revaluations</t>
  </si>
  <si>
    <t>Tax formula needs correcting to deduct revaluations from taxable income</t>
  </si>
  <si>
    <t>Comments</t>
  </si>
  <si>
    <t>CIAL used a pre-tax figure to spread treatment of revaluations over pricing period</t>
  </si>
  <si>
    <t>REPRODUCTION OF CIAL MODEL</t>
  </si>
  <si>
    <t>CIAL SUMMARY FROM ITS FINANCIAL MODEL</t>
  </si>
  <si>
    <t>Surplus (Shortfall) pre tax</t>
  </si>
  <si>
    <t>NPV outcome (pre tax)</t>
  </si>
  <si>
    <t>Total revaluations treated as income</t>
  </si>
  <si>
    <t>International Terminal</t>
  </si>
  <si>
    <t>Depreciation Adjustment</t>
  </si>
  <si>
    <t>PSC Revenue</t>
  </si>
  <si>
    <t>Int terminal seat charge revenue</t>
  </si>
  <si>
    <t>International pax growth</t>
  </si>
  <si>
    <t>International seats growth</t>
  </si>
  <si>
    <t>International terminal seat charge</t>
  </si>
  <si>
    <t>International PSC Charge Increase</t>
  </si>
  <si>
    <t xml:space="preserve">International terminal seat charge increase </t>
  </si>
  <si>
    <t>International pax 12 years and older</t>
  </si>
  <si>
    <t xml:space="preserve">International pax 2 - 11 years </t>
  </si>
  <si>
    <t>International pax less than 2 years</t>
  </si>
  <si>
    <t>International PSC Charge - 12 years and older</t>
  </si>
  <si>
    <t xml:space="preserve">International PSC Charge - 2 - 11 years </t>
  </si>
  <si>
    <t>International PSC Charge - less than 2 years</t>
  </si>
  <si>
    <t>Dom terminal seat charge revenue</t>
  </si>
  <si>
    <t>Domestic seats</t>
  </si>
  <si>
    <t>Domestic seats growth</t>
  </si>
  <si>
    <t>Domestic terminal seat charge</t>
  </si>
  <si>
    <t xml:space="preserve">Domestic terminal seat charge increase </t>
  </si>
  <si>
    <t>Domestic Jet Terminal</t>
  </si>
  <si>
    <t>Dom terminal Turbo prop seat charge revenue</t>
  </si>
  <si>
    <t>Turbo prop seats</t>
  </si>
  <si>
    <t>Turbo prop seats growth</t>
  </si>
  <si>
    <t>Turbo prop seat charge</t>
  </si>
  <si>
    <t xml:space="preserve">Turbo prop seat charge increase </t>
  </si>
  <si>
    <t>Airfield Required Revenue</t>
  </si>
  <si>
    <t>Airfield Forecast Revenue</t>
  </si>
  <si>
    <t>Int Terminal Required Revenue</t>
  </si>
  <si>
    <t>Int Terminal Forecast Revenue</t>
  </si>
  <si>
    <t>Dom Jet Terminal Required Revenue</t>
  </si>
  <si>
    <t>Dom Jet Terminal Forecast Revenue</t>
  </si>
  <si>
    <t>Turboprop Terminal Required Revenue</t>
  </si>
  <si>
    <t>Tuboprop Terminal Forecast Revenue</t>
  </si>
  <si>
    <t>BB Outcome CIAL</t>
  </si>
  <si>
    <t>Airfield NPV Post-tax Outcome</t>
  </si>
  <si>
    <t>BB Outcome BARNZ mid point WACC</t>
  </si>
  <si>
    <t>BB Outcome BARNZ 75th percentile WACC</t>
  </si>
  <si>
    <t>Int Terminal Post-tax NPV Outcome</t>
  </si>
  <si>
    <t>Dom Jet Terminal Post-tax NPV Outcome</t>
  </si>
  <si>
    <t>Turboprop Terminal Post-tax NPV Outcome</t>
  </si>
  <si>
    <t>Combined Post-tax NPV Outcome</t>
  </si>
  <si>
    <t>International departing seats</t>
  </si>
  <si>
    <t>Domestic Turbo-prop Terminal</t>
  </si>
  <si>
    <t>CIAL SUMMARY FROM ITS FINANCIAL MODEL - 16 May 2012</t>
  </si>
  <si>
    <t>CIAL SUMMARY FROM ITS FINANCIAL MODEL LATEST</t>
  </si>
  <si>
    <t>Pre-tax WACC</t>
  </si>
  <si>
    <t>Post-tax WACC</t>
  </si>
  <si>
    <t>WACC Adjustor for BARNZ Alternative Revenue Calculation Worksheets</t>
  </si>
  <si>
    <t>FY</t>
  </si>
  <si>
    <t>Period</t>
  </si>
  <si>
    <t xml:space="preserve">Revaluation amount reduced by approximately 1% as a proxy to reflect the fact plant and equipment, motor vehicles, furniture etc not revalued by CIAL.  </t>
  </si>
  <si>
    <t xml:space="preserve">Revaluation amount reduced by approximately 1.5% as a proxy to reflect the fact plant and equipment, motor vehicles, furniture etc not revalued by CIAL.  </t>
  </si>
  <si>
    <t>Fixed movement revenue above 20 tonnes</t>
  </si>
  <si>
    <t>Fixed movement revenue below 20 tonnes</t>
  </si>
  <si>
    <t>7 month part year</t>
  </si>
  <si>
    <t>Revaluation amount reduced by approximately 3% as a proxy to reflect the fact plant and equipment, motor vehicles, furniture etc not revalued by CIAL.  These assets represent 2% of non-land assets in FY12 as per Table 6 of CIAL Initial Proposal</t>
  </si>
  <si>
    <t>Less military revenue</t>
  </si>
  <si>
    <t>Total forecast revaluations</t>
  </si>
  <si>
    <t>Total international pax</t>
  </si>
  <si>
    <t>Combined Required Revenue</t>
  </si>
  <si>
    <t>Combined Forecast Revenue</t>
  </si>
  <si>
    <t>BARNZ ALTERNATIVE REQUIRED REVENUE CALCULATION</t>
  </si>
  <si>
    <t>Tax formula corrected to remove revaluations from taxable income</t>
  </si>
  <si>
    <t xml:space="preserve">Tax formula corrected to remove revaluations from taxable income and to adjust for estimated non-deductible building depreciation </t>
  </si>
  <si>
    <t>Post-tax WACC used to spread previous revaluations over pricing period</t>
  </si>
  <si>
    <t>Jet MCTOW growth increased to reflect Air NZ A320 upgrade of its domestic jet fleet</t>
  </si>
  <si>
    <t>Seat growth increased to reflect Air NZ A320 upgrade of its domestic fleet which will increase Air NZ jet seats by 28.6%</t>
  </si>
  <si>
    <t>Land closing value</t>
  </si>
  <si>
    <t>Number of movements below.20 tonnes)</t>
  </si>
  <si>
    <t>Number of movements (total)</t>
  </si>
  <si>
    <t>Number of small movements less than 20 tonnes</t>
  </si>
  <si>
    <t>Forecast works optimising international stands in FY14 and FY16 removed given the flat international aircraft movements since 2009</t>
  </si>
  <si>
    <t>Building allocation adjusted to reflect appropriate sharing of common space in the landside departure area on the first floor of the terminal</t>
  </si>
  <si>
    <t>Additional revenue which will be paid by airlines under CIAL's proposed charges over pricing period above that which is justified</t>
  </si>
  <si>
    <t>SUMMARY OF OUTCOME FOR PRICING PERIOD 1 DECEMBER 2012 TO 30 JUNE 2017</t>
  </si>
  <si>
    <t>BARNZ ASSESSMENT OF CIAL REVISED PRICING PROPOSAL</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</si>
</sst>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8" formatCode="&quot;$&quot;#,##0.00;[Red]\-&quot;$&quot;#,##0.00"/>
    <numFmt numFmtId="44" formatCode="_-&quot;$&quot;* #,##0.00_-;\-&quot;$&quot;* #,##0.00_-;_-&quot;$&quot;* &quot;-&quot;??_-;_-@_-"/>
    <numFmt numFmtId="43" formatCode="_-* #,##0.00_-;\-* #,##0.00_-;_-* &quot;-&quot;??_-;_-@_-"/>
    <numFmt numFmtId="164" formatCode="_(#,##0_);\(#,##0\);_(&quot;-&quot;_)"/>
    <numFmt numFmtId="165" formatCode="0.0%"/>
    <numFmt numFmtId="166" formatCode="_-* #,##0_-;\-* #,##0_-;_-* &quot;-&quot;??_-;_-@_-"/>
    <numFmt numFmtId="167" formatCode="_(* #,##0_);_(* \(#,##0\);_(* &quot;-&quot;??_);_(@_)"/>
    <numFmt numFmtId="168" formatCode="#,##0;[Red]\(#,##0\);\-"/>
    <numFmt numFmtId="169" formatCode="_-* #,##0.000000_-;\-* #,##0.000000_-;_-* &quot;-&quot;??_-;_-@_-"/>
    <numFmt numFmtId="170" formatCode="&quot;$&quot;#,##0.000000;[Red]\-&quot;$&quot;#,##0.000000"/>
    <numFmt numFmtId="171" formatCode="#,##0.0"/>
    <numFmt numFmtId="172" formatCode="#,##0;\(#,##0\);\-"/>
    <numFmt numFmtId="173" formatCode="0.000%"/>
    <numFmt numFmtId="174" formatCode="0.00000%"/>
    <numFmt numFmtId="175" formatCode="#,##0_);\(#,##0\);&quot;-  &quot;;&quot; &quot;@"/>
    <numFmt numFmtId="176" formatCode="0.00%_);\-0.00%_);&quot;-  &quot;;&quot; &quot;@"/>
    <numFmt numFmtId="177" formatCode="_-* #,##0.000_-;\-* #,##0.000_-;_-* &quot;-&quot;??_-;_-@_-"/>
    <numFmt numFmtId="178" formatCode="#,##0.000"/>
    <numFmt numFmtId="179" formatCode="&quot;$&quot;#,##0.00000;[Red]\-&quot;$&quot;#,##0.00000"/>
    <numFmt numFmtId="180" formatCode="_-&quot;$&quot;* #,##0.00000_-;\-&quot;$&quot;* #,##0.00000_-;_-&quot;$&quot;* &quot;-&quot;??_-;_-@_-"/>
    <numFmt numFmtId="181" formatCode="_-* #,##0.0000_-;\-* #,##0.0000_-;_-* &quot;-&quot;??_-;_-@_-"/>
  </numFmts>
  <fonts count="20">
    <font>
      <sz val="10"/>
      <name val="Arial"/>
      <family val="2"/>
    </font>
    <font>
      <sz val="10"/>
      <color theme="1"/>
      <name val="Arial"/>
      <family val="2"/>
    </font>
    <font>
      <sz val="10"/>
      <color theme="1"/>
      <name val="Arial"/>
      <family val="2"/>
    </font>
    <font>
      <sz val="10"/>
      <name val="Arial"/>
      <family val="2"/>
    </font>
    <font>
      <b/>
      <sz val="14"/>
      <name val="Arial"/>
      <family val="2"/>
    </font>
    <font>
      <b/>
      <sz val="10"/>
      <name val="Arial"/>
      <family val="2"/>
    </font>
    <font>
      <sz val="9"/>
      <name val="Calibri"/>
      <family val="2"/>
      <scheme val="minor"/>
    </font>
    <font>
      <b/>
      <sz val="16"/>
      <name val="Arial"/>
      <family val="2"/>
    </font>
    <font>
      <sz val="8"/>
      <color indexed="81"/>
      <name val="Tahoma"/>
      <family val="2"/>
    </font>
    <font>
      <b/>
      <sz val="8"/>
      <color indexed="81"/>
      <name val="Tahoma"/>
      <family val="2"/>
    </font>
    <font>
      <sz val="10"/>
      <color rgb="FFFF0000"/>
      <name val="Arial"/>
      <family val="2"/>
    </font>
    <font>
      <sz val="10"/>
      <name val="Frutiger 45 Light"/>
    </font>
    <font>
      <sz val="10"/>
      <color rgb="FFFF0000"/>
      <name val="Frutiger 45 Light"/>
    </font>
    <font>
      <sz val="9"/>
      <name val="Calibri"/>
      <family val="2"/>
    </font>
    <font>
      <b/>
      <sz val="9"/>
      <color rgb="FF000000"/>
      <name val="Tahoma"/>
      <family val="2"/>
    </font>
    <font>
      <sz val="9"/>
      <color rgb="FF000000"/>
      <name val="Tahoma"/>
      <family val="2"/>
    </font>
    <font>
      <sz val="9"/>
      <color rgb="FF1F497D"/>
      <name val="Calibri"/>
      <family val="2"/>
    </font>
    <font>
      <sz val="10"/>
      <color rgb="FF000000"/>
      <name val="Calibri"/>
      <family val="2"/>
    </font>
    <font>
      <sz val="10"/>
      <color rgb="FFC0504D"/>
      <name val="Calibri"/>
      <family val="2"/>
    </font>
    <font>
      <sz val="10"/>
      <color rgb="FF1F497D"/>
      <name val="Calibri"/>
      <family val="2"/>
    </font>
  </fonts>
  <fills count="9">
    <fill>
      <patternFill patternType="none"/>
    </fill>
    <fill>
      <patternFill patternType="gray125"/>
    </fill>
    <fill>
      <patternFill patternType="solid">
        <fgColor indexed="44"/>
        <bgColor indexed="64"/>
      </patternFill>
    </fill>
    <fill>
      <patternFill patternType="solid">
        <fgColor rgb="FF99CCFF"/>
        <bgColor indexed="64"/>
      </patternFill>
    </fill>
    <fill>
      <patternFill patternType="solid">
        <fgColor theme="8" tint="0.59999389629810485"/>
        <bgColor indexed="64"/>
      </patternFill>
    </fill>
    <fill>
      <patternFill patternType="solid">
        <fgColor rgb="FFFFFF00"/>
        <bgColor rgb="FF000000"/>
      </patternFill>
    </fill>
    <fill>
      <patternFill patternType="solid">
        <fgColor theme="0"/>
        <bgColor indexed="64"/>
      </patternFill>
    </fill>
    <fill>
      <patternFill patternType="solid">
        <fgColor theme="9" tint="0.79998168889431442"/>
        <bgColor indexed="64"/>
      </patternFill>
    </fill>
    <fill>
      <patternFill patternType="solid">
        <fgColor rgb="FFCCFFCC"/>
        <bgColor indexed="64"/>
      </patternFill>
    </fill>
  </fills>
  <borders count="2">
    <border>
      <left/>
      <right/>
      <top/>
      <bottom/>
      <diagonal/>
    </border>
    <border>
      <left/>
      <right/>
      <top style="thin">
        <color indexed="64"/>
      </top>
      <bottom style="thin">
        <color indexed="64"/>
      </bottom>
      <diagonal/>
    </border>
  </borders>
  <cellStyleXfs count="9">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3" fillId="0" borderId="0"/>
  </cellStyleXfs>
  <cellXfs count="85">
    <xf numFmtId="0" fontId="0" fillId="0" borderId="0" xfId="0"/>
    <xf numFmtId="0" fontId="4" fillId="0" borderId="0" xfId="0" applyFont="1"/>
    <xf numFmtId="0" fontId="0" fillId="0" borderId="0" xfId="0" applyAlignment="1">
      <alignment wrapText="1"/>
    </xf>
    <xf numFmtId="0" fontId="0" fillId="0" borderId="0" xfId="0" applyAlignment="1">
      <alignment horizontal="center"/>
    </xf>
    <xf numFmtId="0" fontId="5" fillId="0" borderId="0" xfId="0" applyFont="1" applyAlignment="1">
      <alignment horizontal="right"/>
    </xf>
    <xf numFmtId="0" fontId="5" fillId="0" borderId="0" xfId="0" applyFont="1"/>
    <xf numFmtId="3" fontId="0" fillId="0" borderId="0" xfId="0" applyNumberFormat="1"/>
    <xf numFmtId="164" fontId="0" fillId="0" borderId="0" xfId="0" applyNumberFormat="1" applyAlignment="1">
      <alignment vertical="center"/>
    </xf>
    <xf numFmtId="3" fontId="5" fillId="0" borderId="0" xfId="0" applyNumberFormat="1" applyFont="1"/>
    <xf numFmtId="0" fontId="3" fillId="0" borderId="0" xfId="0" applyFont="1" applyAlignment="1">
      <alignment wrapText="1"/>
    </xf>
    <xf numFmtId="10" fontId="0" fillId="0" borderId="0" xfId="0" applyNumberFormat="1"/>
    <xf numFmtId="9" fontId="0" fillId="0" borderId="0" xfId="0" applyNumberFormat="1" applyAlignment="1">
      <alignment wrapText="1"/>
    </xf>
    <xf numFmtId="0" fontId="3" fillId="0" borderId="0" xfId="0" applyFont="1"/>
    <xf numFmtId="3" fontId="3" fillId="0" borderId="0" xfId="0" applyNumberFormat="1" applyFont="1"/>
    <xf numFmtId="3" fontId="0" fillId="0" borderId="0" xfId="0" applyNumberFormat="1" applyAlignment="1">
      <alignment wrapText="1"/>
    </xf>
    <xf numFmtId="3" fontId="5" fillId="2" borderId="0" xfId="0" applyNumberFormat="1" applyFont="1" applyFill="1"/>
    <xf numFmtId="10" fontId="0" fillId="2" borderId="0" xfId="0" applyNumberFormat="1" applyFill="1"/>
    <xf numFmtId="10" fontId="0" fillId="0" borderId="0" xfId="4" applyNumberFormat="1" applyFont="1"/>
    <xf numFmtId="165" fontId="0" fillId="2" borderId="0" xfId="0" applyNumberFormat="1" applyFill="1"/>
    <xf numFmtId="166" fontId="0" fillId="0" borderId="0" xfId="1" applyNumberFormat="1" applyFont="1"/>
    <xf numFmtId="10" fontId="0" fillId="0" borderId="0" xfId="3" applyNumberFormat="1" applyFont="1"/>
    <xf numFmtId="166" fontId="0" fillId="0" borderId="0" xfId="0" applyNumberFormat="1"/>
    <xf numFmtId="44" fontId="0" fillId="0" borderId="0" xfId="2" applyFont="1"/>
    <xf numFmtId="0" fontId="0" fillId="0" borderId="0" xfId="0" applyFont="1"/>
    <xf numFmtId="167" fontId="0" fillId="0" borderId="0" xfId="0" applyNumberFormat="1"/>
    <xf numFmtId="168" fontId="0" fillId="0" borderId="0" xfId="1" applyNumberFormat="1" applyFont="1"/>
    <xf numFmtId="168" fontId="0" fillId="0" borderId="0" xfId="0" applyNumberFormat="1"/>
    <xf numFmtId="0" fontId="5" fillId="0" borderId="0" xfId="0" applyFont="1" applyAlignment="1">
      <alignment wrapText="1"/>
    </xf>
    <xf numFmtId="168" fontId="5" fillId="0" borderId="0" xfId="0" applyNumberFormat="1" applyFont="1"/>
    <xf numFmtId="3" fontId="0" fillId="0" borderId="0" xfId="2" applyNumberFormat="1" applyFont="1"/>
    <xf numFmtId="169" fontId="5" fillId="0" borderId="0" xfId="0" applyNumberFormat="1" applyFont="1"/>
    <xf numFmtId="170" fontId="0" fillId="0" borderId="0" xfId="0" applyNumberFormat="1"/>
    <xf numFmtId="168" fontId="0" fillId="0" borderId="0" xfId="0" applyNumberFormat="1" applyAlignment="1">
      <alignment vertical="center"/>
    </xf>
    <xf numFmtId="3" fontId="0" fillId="0" borderId="0" xfId="1" applyNumberFormat="1" applyFont="1"/>
    <xf numFmtId="166" fontId="0" fillId="0" borderId="0" xfId="5" applyNumberFormat="1" applyFont="1"/>
    <xf numFmtId="10" fontId="0" fillId="0" borderId="0" xfId="6" applyNumberFormat="1" applyFont="1"/>
    <xf numFmtId="44" fontId="0" fillId="0" borderId="0" xfId="7" applyFont="1"/>
    <xf numFmtId="165" fontId="0" fillId="3" borderId="0" xfId="6" applyNumberFormat="1" applyFont="1" applyFill="1"/>
    <xf numFmtId="168" fontId="0" fillId="0" borderId="0" xfId="5" applyNumberFormat="1" applyFont="1"/>
    <xf numFmtId="168" fontId="0" fillId="0" borderId="0" xfId="2" applyNumberFormat="1" applyFont="1"/>
    <xf numFmtId="168" fontId="0" fillId="0" borderId="0" xfId="3" applyNumberFormat="1" applyFont="1"/>
    <xf numFmtId="0" fontId="0" fillId="0" borderId="0" xfId="0" applyNumberFormat="1"/>
    <xf numFmtId="169" fontId="0" fillId="0" borderId="0" xfId="0" applyNumberFormat="1"/>
    <xf numFmtId="171" fontId="5" fillId="0" borderId="0" xfId="0" applyNumberFormat="1" applyFont="1"/>
    <xf numFmtId="10" fontId="5" fillId="0" borderId="0" xfId="3" applyNumberFormat="1" applyFont="1"/>
    <xf numFmtId="10" fontId="5" fillId="0" borderId="0" xfId="0" applyNumberFormat="1" applyFont="1"/>
    <xf numFmtId="3" fontId="0" fillId="0" borderId="0" xfId="3" applyNumberFormat="1" applyFont="1"/>
    <xf numFmtId="168" fontId="0" fillId="0" borderId="0" xfId="7" applyNumberFormat="1" applyFont="1"/>
    <xf numFmtId="166" fontId="0" fillId="0" borderId="0" xfId="4" applyNumberFormat="1" applyFont="1"/>
    <xf numFmtId="172" fontId="0" fillId="0" borderId="0" xfId="1" applyNumberFormat="1" applyFont="1"/>
    <xf numFmtId="173" fontId="0" fillId="0" borderId="0" xfId="3" applyNumberFormat="1" applyFont="1"/>
    <xf numFmtId="174" fontId="0" fillId="0" borderId="0" xfId="3" applyNumberFormat="1" applyFont="1"/>
    <xf numFmtId="168" fontId="6" fillId="0" borderId="0" xfId="0" applyNumberFormat="1" applyFont="1"/>
    <xf numFmtId="164" fontId="0" fillId="0" borderId="0" xfId="0" applyNumberFormat="1"/>
    <xf numFmtId="10" fontId="0" fillId="4" borderId="0" xfId="0" applyNumberFormat="1" applyFill="1"/>
    <xf numFmtId="175" fontId="11" fillId="0" borderId="0" xfId="1" applyNumberFormat="1" applyFont="1" applyFill="1" applyBorder="1" applyAlignment="1">
      <alignment vertical="top"/>
    </xf>
    <xf numFmtId="175" fontId="12" fillId="0" borderId="0" xfId="1" applyNumberFormat="1" applyFont="1" applyFill="1" applyBorder="1" applyAlignment="1">
      <alignment vertical="top"/>
    </xf>
    <xf numFmtId="175" fontId="10" fillId="0" borderId="0" xfId="0" applyNumberFormat="1" applyFont="1"/>
    <xf numFmtId="168" fontId="13" fillId="0" borderId="0" xfId="0" applyNumberFormat="1" applyFont="1" applyFill="1" applyBorder="1" applyAlignment="1">
      <alignment vertical="top"/>
    </xf>
    <xf numFmtId="176" fontId="3" fillId="0" borderId="0" xfId="3" applyNumberFormat="1" applyFont="1" applyFill="1" applyBorder="1" applyAlignment="1">
      <alignment vertical="top"/>
    </xf>
    <xf numFmtId="168" fontId="13" fillId="5" borderId="0" xfId="0" applyNumberFormat="1" applyFont="1" applyFill="1" applyBorder="1" applyAlignment="1">
      <alignment vertical="top"/>
    </xf>
    <xf numFmtId="168" fontId="13" fillId="0" borderId="1" xfId="0" applyNumberFormat="1" applyFont="1" applyFill="1" applyBorder="1" applyAlignment="1">
      <alignment vertical="top"/>
    </xf>
    <xf numFmtId="166" fontId="11" fillId="0" borderId="0" xfId="1" applyNumberFormat="1" applyFont="1" applyFill="1" applyBorder="1" applyAlignment="1">
      <alignment vertical="top"/>
    </xf>
    <xf numFmtId="3" fontId="16" fillId="0" borderId="0" xfId="0" applyNumberFormat="1" applyFont="1" applyFill="1" applyBorder="1" applyAlignment="1">
      <alignment vertical="top"/>
    </xf>
    <xf numFmtId="177" fontId="17" fillId="0" borderId="0" xfId="1" applyNumberFormat="1" applyFont="1" applyFill="1" applyBorder="1" applyAlignment="1"/>
    <xf numFmtId="178" fontId="0" fillId="0" borderId="0" xfId="0" applyNumberFormat="1"/>
    <xf numFmtId="8" fontId="17" fillId="0" borderId="0" xfId="0" applyNumberFormat="1" applyFont="1" applyFill="1" applyBorder="1" applyAlignment="1"/>
    <xf numFmtId="179" fontId="18" fillId="0" borderId="0" xfId="0" applyNumberFormat="1" applyFont="1" applyFill="1" applyBorder="1" applyAlignment="1"/>
    <xf numFmtId="180" fontId="19" fillId="0" borderId="0" xfId="0" applyNumberFormat="1" applyFont="1" applyFill="1" applyBorder="1" applyAlignment="1"/>
    <xf numFmtId="44" fontId="0" fillId="0" borderId="0" xfId="2" applyNumberFormat="1" applyFont="1"/>
    <xf numFmtId="181" fontId="17" fillId="0" borderId="0" xfId="1" applyNumberFormat="1" applyFont="1" applyFill="1" applyBorder="1" applyAlignment="1"/>
    <xf numFmtId="169" fontId="17" fillId="6" borderId="0" xfId="1" applyNumberFormat="1" applyFont="1" applyFill="1" applyBorder="1" applyAlignment="1"/>
    <xf numFmtId="167" fontId="0" fillId="0" borderId="0" xfId="0" applyNumberFormat="1" applyAlignment="1">
      <alignment wrapText="1"/>
    </xf>
    <xf numFmtId="0" fontId="0" fillId="7" borderId="0" xfId="0" applyFill="1"/>
    <xf numFmtId="3" fontId="5" fillId="7" borderId="0" xfId="0" applyNumberFormat="1" applyFont="1" applyFill="1"/>
    <xf numFmtId="3" fontId="0" fillId="7" borderId="0" xfId="0" applyNumberFormat="1" applyFill="1"/>
    <xf numFmtId="168" fontId="0" fillId="7" borderId="0" xfId="0" applyNumberFormat="1" applyFill="1"/>
    <xf numFmtId="170" fontId="0" fillId="7" borderId="0" xfId="0" applyNumberFormat="1" applyFill="1"/>
    <xf numFmtId="0" fontId="0" fillId="7" borderId="0" xfId="0" applyNumberFormat="1" applyFill="1"/>
    <xf numFmtId="171" fontId="5" fillId="7" borderId="0" xfId="0" applyNumberFormat="1" applyFont="1" applyFill="1"/>
    <xf numFmtId="0" fontId="5" fillId="8" borderId="0" xfId="0" applyFont="1" applyFill="1"/>
    <xf numFmtId="3" fontId="5" fillId="8" borderId="0" xfId="0" applyNumberFormat="1" applyFont="1" applyFill="1"/>
    <xf numFmtId="0" fontId="5" fillId="8" borderId="0" xfId="0" applyFont="1" applyFill="1" applyAlignment="1">
      <alignment wrapText="1"/>
    </xf>
    <xf numFmtId="15" fontId="0" fillId="0" borderId="0" xfId="0" applyNumberFormat="1"/>
    <xf numFmtId="0" fontId="7" fillId="6" borderId="0" xfId="0" applyFont="1" applyFill="1"/>
  </cellXfs>
  <cellStyles count="9">
    <cellStyle name="Comma" xfId="1" builtinId="3"/>
    <cellStyle name="Comma 2" xfId="5"/>
    <cellStyle name="Currency" xfId="2" builtinId="4"/>
    <cellStyle name="Currency 2" xfId="7"/>
    <cellStyle name="Normal" xfId="0" builtinId="0"/>
    <cellStyle name="Normal 2" xfId="8"/>
    <cellStyle name="Percent" xfId="3" builtinId="5"/>
    <cellStyle name="Percent 2" xfId="4"/>
    <cellStyle name="Percent 3" xfId="6"/>
  </cellStyles>
  <dxfs count="0"/>
  <tableStyles count="0" defaultTableStyle="TableStyleMedium2" defaultPivotStyle="PivotStyleLight16"/>
  <colors>
    <mruColors>
      <color rgb="FFCCFFCC"/>
      <color rgb="FF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Owner/Local%20Settings/Temporary%20Internet%20Files/Content.Outlook/Q9MIX28Q/Copy%20of%20CIAL%20-%20%20Pricing%20model%2027%20July%20v_airline%20model%20tax%20correc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Map"/>
      <sheetName val="Pricing_and_Revenue4yr7 target "/>
      <sheetName val="FY 15 price breakdown"/>
      <sheetName val="Volume &amp; CPI forecast"/>
      <sheetName val="Opex"/>
      <sheetName val="09-12 revaluation booked income"/>
      <sheetName val="Asset base"/>
      <sheetName val="WACC"/>
      <sheetName val="AIRFIELD"/>
      <sheetName val="TERM INTER"/>
      <sheetName val="TERM DOM - JET"/>
      <sheetName val="TERM DOM"/>
    </sheetNames>
    <sheetDataSet>
      <sheetData sheetId="0"/>
      <sheetData sheetId="1">
        <row r="10">
          <cell r="M10">
            <v>0.58333333333333337</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7"/>
  <sheetViews>
    <sheetView tabSelected="1" zoomScaleNormal="100" workbookViewId="0">
      <selection activeCell="B1" sqref="B1"/>
    </sheetView>
  </sheetViews>
  <sheetFormatPr defaultRowHeight="12.75"/>
  <cols>
    <col min="1" max="1" width="36.7109375" customWidth="1"/>
    <col min="2" max="2" width="12.7109375" customWidth="1"/>
    <col min="3" max="3" width="4.7109375" customWidth="1"/>
    <col min="4" max="4" width="12.5703125" customWidth="1"/>
    <col min="5" max="5" width="5.5703125" customWidth="1"/>
    <col min="6" max="6" width="16.5703125" customWidth="1"/>
    <col min="9" max="9" width="14" customWidth="1"/>
  </cols>
  <sheetData>
    <row r="1" spans="1:9" ht="20.25">
      <c r="A1" s="84" t="s">
        <v>128</v>
      </c>
    </row>
    <row r="2" spans="1:9" ht="20.25">
      <c r="A2" s="84" t="s">
        <v>129</v>
      </c>
    </row>
    <row r="3" spans="1:9">
      <c r="A3" s="83">
        <v>41159</v>
      </c>
    </row>
    <row r="4" spans="1:9" ht="39.75" customHeight="1">
      <c r="B4" s="2" t="s">
        <v>87</v>
      </c>
      <c r="D4" s="2" t="s">
        <v>89</v>
      </c>
      <c r="F4" s="2" t="s">
        <v>90</v>
      </c>
    </row>
    <row r="5" spans="1:9" ht="12.75" customHeight="1">
      <c r="B5" s="2"/>
      <c r="D5" s="2"/>
      <c r="F5" s="2"/>
    </row>
    <row r="6" spans="1:9" ht="13.5" customHeight="1">
      <c r="A6" t="s">
        <v>99</v>
      </c>
      <c r="B6" s="20">
        <f>B7/(1-0.28)</f>
        <v>0.13554166666666667</v>
      </c>
      <c r="C6" s="20"/>
      <c r="D6" s="20">
        <f>D7/(1-0.28)</f>
        <v>9.8055555555555549E-2</v>
      </c>
      <c r="E6" s="20"/>
      <c r="F6" s="20">
        <v>0.1082</v>
      </c>
    </row>
    <row r="7" spans="1:9" ht="13.5" customHeight="1">
      <c r="A7" t="s">
        <v>100</v>
      </c>
      <c r="B7" s="20">
        <v>9.7589999999999996E-2</v>
      </c>
      <c r="C7" s="20"/>
      <c r="D7" s="20">
        <v>7.0599999999999996E-2</v>
      </c>
      <c r="E7" s="20"/>
      <c r="F7" s="20">
        <v>8.0699999999999994E-2</v>
      </c>
    </row>
    <row r="8" spans="1:9" ht="13.5" customHeight="1">
      <c r="B8" s="2"/>
      <c r="D8" s="2"/>
    </row>
    <row r="9" spans="1:9">
      <c r="A9" t="s">
        <v>79</v>
      </c>
      <c r="B9" s="6">
        <f>'Airfield CIAL Proposal'!I26</f>
        <v>158784062.31530923</v>
      </c>
      <c r="D9" s="6">
        <v>101250182.34858729</v>
      </c>
      <c r="F9" s="6">
        <f>'Airfield BARNZ Alt RR'!I26</f>
        <v>114597987.13473439</v>
      </c>
      <c r="I9" s="6"/>
    </row>
    <row r="10" spans="1:9">
      <c r="A10" t="s">
        <v>80</v>
      </c>
      <c r="B10" s="6">
        <f>'Airfield CIAL Proposal'!I33</f>
        <v>160744174.01419574</v>
      </c>
      <c r="D10" s="6">
        <v>163131584.42158821</v>
      </c>
      <c r="F10" s="6">
        <f>'Airfield BARNZ Alt RR'!I33</f>
        <v>163131584.42158821</v>
      </c>
      <c r="I10" s="6"/>
    </row>
    <row r="11" spans="1:9">
      <c r="A11" t="s">
        <v>88</v>
      </c>
      <c r="B11" s="6">
        <f>'Airfield CIAL Proposal'!I40</f>
        <v>515171.59653621609</v>
      </c>
      <c r="D11" s="6">
        <v>36754814.748222552</v>
      </c>
      <c r="F11" s="6">
        <f>'Airfield BARNZ Alt RR'!I40</f>
        <v>28042449.756679781</v>
      </c>
      <c r="I11" s="6"/>
    </row>
    <row r="14" spans="1:9">
      <c r="A14" t="s">
        <v>81</v>
      </c>
      <c r="B14" s="6">
        <f>'Int Terminal CIAL Proposal'!I27</f>
        <v>122802182.68620211</v>
      </c>
      <c r="D14" s="6">
        <v>97814381.940473571</v>
      </c>
      <c r="F14" s="6">
        <f>'Int Terminal BARNZ Alt RR'!I27</f>
        <v>105042846.77485333</v>
      </c>
      <c r="I14" s="6"/>
    </row>
    <row r="15" spans="1:9">
      <c r="A15" t="s">
        <v>82</v>
      </c>
      <c r="B15" s="6">
        <f>'Int Terminal CIAL Proposal'!I32</f>
        <v>94006774.77877292</v>
      </c>
      <c r="D15" s="6">
        <v>94006774.77877292</v>
      </c>
      <c r="F15" s="6">
        <f>'Int Terminal BARNZ Alt RR'!I32</f>
        <v>94006774.77877292</v>
      </c>
      <c r="I15" s="6"/>
    </row>
    <row r="16" spans="1:9">
      <c r="A16" t="s">
        <v>91</v>
      </c>
      <c r="B16" s="6">
        <f>'Int Terminal CIAL Proposal'!I39</f>
        <v>-16565355.648810742</v>
      </c>
      <c r="D16" s="6">
        <v>-2500579.1615628521</v>
      </c>
      <c r="F16" s="6">
        <f>'Int Terminal BARNZ Alt RR'!I39</f>
        <v>-6718686.2035794128</v>
      </c>
      <c r="I16" s="6"/>
    </row>
    <row r="17" spans="1:9">
      <c r="B17" s="6"/>
    </row>
    <row r="19" spans="1:9">
      <c r="A19" t="s">
        <v>83</v>
      </c>
      <c r="B19" s="6">
        <f>'Dom Jet CIAL Proposal'!I27</f>
        <v>79774050.055392995</v>
      </c>
      <c r="D19" s="6">
        <v>61818982.370584205</v>
      </c>
      <c r="F19" s="6">
        <f>'Dom Jet BARNZ Alt RR'!I27</f>
        <v>66472585.0379925</v>
      </c>
      <c r="I19" s="6"/>
    </row>
    <row r="20" spans="1:9">
      <c r="A20" t="s">
        <v>84</v>
      </c>
      <c r="B20" s="6">
        <f>'Dom Jet CIAL Proposal'!I31</f>
        <v>65987497.030950621</v>
      </c>
      <c r="D20" s="6">
        <v>70103597.457322657</v>
      </c>
      <c r="F20" s="6">
        <f>'Dom Jet BARNZ Alt RR'!I31</f>
        <v>70103597.457322657</v>
      </c>
      <c r="I20" s="6"/>
    </row>
    <row r="21" spans="1:9">
      <c r="A21" t="s">
        <v>92</v>
      </c>
      <c r="B21" s="6">
        <f>'Dom Jet CIAL Proposal'!I38</f>
        <v>-8490113.1887505669</v>
      </c>
      <c r="D21" s="6">
        <v>4350315.9863215219</v>
      </c>
      <c r="F21" s="6">
        <f>'Dom Jet BARNZ Alt RR'!I38</f>
        <v>1426052.4376078993</v>
      </c>
      <c r="I21" s="6"/>
    </row>
    <row r="22" spans="1:9">
      <c r="B22" s="6"/>
    </row>
    <row r="24" spans="1:9">
      <c r="A24" t="s">
        <v>85</v>
      </c>
      <c r="B24" s="6">
        <f>'Dom T.Prop CIAL Proposal'!I27</f>
        <v>16614761.747468125</v>
      </c>
      <c r="D24" s="6">
        <v>14035738.603780128</v>
      </c>
      <c r="F24" s="6">
        <f>'Dom T.Prop BARNZ Alt RR'!I27</f>
        <v>14788443.193758506</v>
      </c>
      <c r="I24" s="6"/>
    </row>
    <row r="25" spans="1:9">
      <c r="A25" t="s">
        <v>86</v>
      </c>
      <c r="B25" s="6">
        <f>'Dom T.Prop CIAL Proposal'!I31</f>
        <v>11733977.253586506</v>
      </c>
      <c r="D25" s="6">
        <v>11733977.253586506</v>
      </c>
      <c r="F25" s="6">
        <f>'Dom T.Prop BARNZ Alt RR'!I31</f>
        <v>11733977.253586506</v>
      </c>
      <c r="I25" s="6"/>
    </row>
    <row r="26" spans="1:9">
      <c r="A26" t="s">
        <v>93</v>
      </c>
      <c r="B26" s="6">
        <f>'Dom T.Prop CIAL Proposal'!I38</f>
        <v>-2871342.0124874827</v>
      </c>
      <c r="D26" s="6">
        <v>-1461625.8316155667</v>
      </c>
      <c r="F26" s="6">
        <f>'Dom T.Prop BARNZ Alt RR'!I38</f>
        <v>-1879558.4242035425</v>
      </c>
      <c r="I26" s="6"/>
    </row>
    <row r="29" spans="1:9">
      <c r="A29" s="80" t="s">
        <v>113</v>
      </c>
      <c r="B29" s="81">
        <f>B9+B14+B19+B24</f>
        <v>377975056.80437243</v>
      </c>
      <c r="C29" s="80"/>
      <c r="D29" s="81">
        <v>274919285.26342523</v>
      </c>
      <c r="E29" s="80"/>
      <c r="F29" s="81">
        <f>F9+F14+F19+F24</f>
        <v>300901862.14133871</v>
      </c>
    </row>
    <row r="30" spans="1:9">
      <c r="A30" s="80" t="s">
        <v>114</v>
      </c>
      <c r="B30" s="81">
        <f>B10+B15+B20+B25</f>
        <v>332472423.07750583</v>
      </c>
      <c r="C30" s="80"/>
      <c r="D30" s="81">
        <v>338975933.91127032</v>
      </c>
      <c r="E30" s="80"/>
      <c r="F30" s="81">
        <f>F10+F15+F20+F25</f>
        <v>338975933.91127032</v>
      </c>
    </row>
    <row r="31" spans="1:9">
      <c r="A31" s="80" t="s">
        <v>94</v>
      </c>
      <c r="B31" s="81">
        <f>B11+B16+B21+B26</f>
        <v>-27411639.253512576</v>
      </c>
      <c r="C31" s="80"/>
      <c r="D31" s="81">
        <v>37142925.741365656</v>
      </c>
      <c r="E31" s="80"/>
      <c r="F31" s="81">
        <f>F11+F16+F21+F26</f>
        <v>20870257.566504728</v>
      </c>
      <c r="I31" s="6"/>
    </row>
    <row r="32" spans="1:9">
      <c r="B32" s="6"/>
      <c r="D32" s="6"/>
      <c r="F32" s="6"/>
      <c r="I32" s="6"/>
    </row>
    <row r="33" spans="1:9" ht="49.5" customHeight="1">
      <c r="A33" s="82" t="s">
        <v>127</v>
      </c>
      <c r="B33" s="81"/>
      <c r="C33" s="80"/>
      <c r="D33" s="81">
        <f>D30-D29</f>
        <v>64056648.647845089</v>
      </c>
      <c r="E33" s="80"/>
      <c r="F33" s="81">
        <f>F30-F29</f>
        <v>38074071.769931614</v>
      </c>
      <c r="I33" s="6"/>
    </row>
    <row r="34" spans="1:9">
      <c r="B34" s="6"/>
      <c r="D34" s="6"/>
      <c r="F34" s="6"/>
      <c r="I34" s="6"/>
    </row>
    <row r="35" spans="1:9">
      <c r="A35" t="s">
        <v>101</v>
      </c>
    </row>
    <row r="36" spans="1:9">
      <c r="A36" t="s">
        <v>99</v>
      </c>
      <c r="B36" s="54">
        <v>0.1082</v>
      </c>
    </row>
    <row r="37" spans="1:9">
      <c r="A37" t="s">
        <v>100</v>
      </c>
      <c r="B37" s="54">
        <v>8.0699999999999994E-2</v>
      </c>
    </row>
  </sheetData>
  <pageMargins left="0.70866141732283472" right="0.70866141732283472" top="0.74803149606299213" bottom="0.74803149606299213" header="0.31496062992125984" footer="0.31496062992125984"/>
  <pageSetup paperSize="9" scale="90" orientation="landscape" horizontalDpi="0" verticalDpi="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11"/>
  <sheetViews>
    <sheetView zoomScaleNormal="100" workbookViewId="0">
      <pane ySplit="4" topLeftCell="A11" activePane="bottomLeft" state="frozenSplit"/>
      <selection pane="bottomLeft" activeCell="A11" sqref="A10:A11"/>
    </sheetView>
  </sheetViews>
  <sheetFormatPr defaultRowHeight="12.75"/>
  <cols>
    <col min="1" max="1" width="40.42578125" customWidth="1"/>
    <col min="2" max="8" width="13.7109375" customWidth="1"/>
    <col min="9" max="9" width="15.42578125" customWidth="1"/>
    <col min="10" max="10" width="115.7109375" style="2" customWidth="1"/>
  </cols>
  <sheetData>
    <row r="1" spans="1:10" ht="18">
      <c r="A1" s="1" t="s">
        <v>48</v>
      </c>
    </row>
    <row r="3" spans="1:10" ht="18">
      <c r="A3" s="1" t="s">
        <v>0</v>
      </c>
      <c r="B3" s="3"/>
      <c r="C3" s="3"/>
      <c r="D3" s="73" t="s">
        <v>108</v>
      </c>
    </row>
    <row r="4" spans="1:10">
      <c r="B4" s="4" t="s">
        <v>102</v>
      </c>
      <c r="C4" s="4">
        <v>2012</v>
      </c>
      <c r="D4" s="4">
        <v>2013</v>
      </c>
      <c r="E4" s="4">
        <v>2014</v>
      </c>
      <c r="F4" s="4">
        <v>2015</v>
      </c>
      <c r="G4" s="4">
        <v>2016</v>
      </c>
      <c r="H4" s="4">
        <v>2017</v>
      </c>
      <c r="I4" s="4" t="s">
        <v>1</v>
      </c>
      <c r="J4" s="27" t="s">
        <v>46</v>
      </c>
    </row>
    <row r="5" spans="1:10">
      <c r="A5" s="5" t="s">
        <v>2</v>
      </c>
    </row>
    <row r="6" spans="1:10">
      <c r="A6" t="s">
        <v>121</v>
      </c>
      <c r="C6" s="26">
        <v>78896232</v>
      </c>
      <c r="D6" s="6">
        <f>C6+D46+102100</f>
        <v>80655152.871999994</v>
      </c>
      <c r="E6" s="6">
        <f>D6+E46</f>
        <v>82348911.082311988</v>
      </c>
      <c r="F6" s="6">
        <f>E6+F46</f>
        <v>84078238.215040535</v>
      </c>
      <c r="G6" s="6">
        <f>F6+G46</f>
        <v>85843881.217556387</v>
      </c>
      <c r="H6" s="6">
        <f>G6+H46</f>
        <v>87646602.72312507</v>
      </c>
    </row>
    <row r="7" spans="1:10">
      <c r="C7" s="6"/>
      <c r="D7" s="6"/>
      <c r="E7" s="6"/>
      <c r="F7" s="6"/>
      <c r="G7" s="6"/>
      <c r="H7" s="6"/>
    </row>
    <row r="8" spans="1:10">
      <c r="A8" t="s">
        <v>3</v>
      </c>
      <c r="C8" s="6"/>
      <c r="D8" s="6">
        <f>C12</f>
        <v>109478208</v>
      </c>
      <c r="E8" s="6">
        <f>D12</f>
        <v>137846759.167234</v>
      </c>
      <c r="F8" s="6">
        <f>E12</f>
        <v>145997492.76053533</v>
      </c>
      <c r="G8" s="6">
        <f>F12</f>
        <v>149456817.23064351</v>
      </c>
      <c r="H8" s="6">
        <f>G12</f>
        <v>152434823.73191091</v>
      </c>
    </row>
    <row r="9" spans="1:10">
      <c r="A9" t="s">
        <v>4</v>
      </c>
      <c r="C9" s="20"/>
      <c r="D9" s="47">
        <v>-5376585</v>
      </c>
      <c r="E9" s="47">
        <v>-5916023</v>
      </c>
      <c r="F9" s="47">
        <v>-6178678</v>
      </c>
      <c r="G9" s="47">
        <v>-6292370</v>
      </c>
      <c r="H9" s="47">
        <v>-6641322</v>
      </c>
      <c r="I9" s="20"/>
    </row>
    <row r="10" spans="1:10">
      <c r="A10" t="s">
        <v>5</v>
      </c>
      <c r="C10" s="7"/>
      <c r="D10" s="55">
        <v>31549550.705794018</v>
      </c>
      <c r="E10" s="55">
        <v>11273292.018777343</v>
      </c>
      <c r="F10" s="55">
        <v>6667099.489924049</v>
      </c>
      <c r="G10" s="55">
        <v>6222802.5411173375</v>
      </c>
      <c r="H10" s="55">
        <v>8190522.7420204896</v>
      </c>
      <c r="J10" s="24"/>
    </row>
    <row r="11" spans="1:10">
      <c r="A11" t="s">
        <v>37</v>
      </c>
      <c r="C11" s="7"/>
      <c r="D11" s="7">
        <f>D47</f>
        <v>2195585.4614400002</v>
      </c>
      <c r="E11" s="7">
        <f>E47</f>
        <v>2793464.5745239975</v>
      </c>
      <c r="F11" s="7">
        <f>F47</f>
        <v>2970902.9801841332</v>
      </c>
      <c r="G11" s="7">
        <f>G47</f>
        <v>3047573.9601500519</v>
      </c>
      <c r="H11" s="7">
        <f>H47</f>
        <v>3114700.7533141356</v>
      </c>
      <c r="I11" s="53"/>
    </row>
    <row r="12" spans="1:10">
      <c r="A12" t="s">
        <v>6</v>
      </c>
      <c r="C12" s="26">
        <f>188374440-C6</f>
        <v>109478208</v>
      </c>
      <c r="D12" s="6">
        <f>SUM(D8:D11)</f>
        <v>137846759.167234</v>
      </c>
      <c r="E12" s="6">
        <f>SUM(E8:E11)</f>
        <v>145997492.76053533</v>
      </c>
      <c r="F12" s="6">
        <f>SUM(F8:F11)</f>
        <v>149456817.23064351</v>
      </c>
      <c r="G12" s="6">
        <f>SUM(G8:G11)</f>
        <v>152434823.73191091</v>
      </c>
      <c r="H12" s="6">
        <f>SUM(H8:H11)</f>
        <v>157098725.22724554</v>
      </c>
    </row>
    <row r="13" spans="1:10">
      <c r="C13" s="6"/>
      <c r="D13" s="6"/>
      <c r="E13" s="6"/>
      <c r="F13" s="6"/>
      <c r="G13" s="6"/>
      <c r="H13" s="6"/>
    </row>
    <row r="14" spans="1:10">
      <c r="A14" s="5" t="s">
        <v>7</v>
      </c>
      <c r="B14" s="8"/>
      <c r="C14" s="8">
        <f t="shared" ref="C14:H14" si="0">C6+C12</f>
        <v>188374440</v>
      </c>
      <c r="D14" s="8">
        <f t="shared" si="0"/>
        <v>218501912.03923398</v>
      </c>
      <c r="E14" s="8">
        <f t="shared" si="0"/>
        <v>228346403.84284732</v>
      </c>
      <c r="F14" s="8">
        <f t="shared" si="0"/>
        <v>233535055.44568405</v>
      </c>
      <c r="G14" s="8">
        <f t="shared" si="0"/>
        <v>238278704.9494673</v>
      </c>
      <c r="H14" s="8">
        <f t="shared" si="0"/>
        <v>244745327.95037061</v>
      </c>
      <c r="I14" s="6"/>
    </row>
    <row r="15" spans="1:10">
      <c r="A15" s="5"/>
      <c r="B15" s="8"/>
      <c r="C15" s="28"/>
      <c r="D15" s="40"/>
      <c r="E15" s="40"/>
      <c r="F15" s="40"/>
      <c r="G15" s="40"/>
      <c r="H15" s="40"/>
      <c r="I15" s="6"/>
    </row>
    <row r="16" spans="1:10">
      <c r="A16" s="5" t="s">
        <v>8</v>
      </c>
      <c r="B16" s="8"/>
      <c r="C16" s="8"/>
      <c r="D16" s="8">
        <f>(C14+D14)/2</f>
        <v>203438176.01961699</v>
      </c>
      <c r="E16" s="8">
        <f>(D14+E14)/2</f>
        <v>223424157.94104064</v>
      </c>
      <c r="F16" s="8">
        <f>(E14+F14)/2</f>
        <v>230940729.64426568</v>
      </c>
      <c r="G16" s="8">
        <f>(F14+G14)/2</f>
        <v>235906880.19757569</v>
      </c>
      <c r="H16" s="8">
        <f>(G14+H14)/2</f>
        <v>241512016.44991896</v>
      </c>
      <c r="J16" s="9"/>
    </row>
    <row r="17" spans="1:10">
      <c r="A17" s="5"/>
      <c r="B17" s="8"/>
      <c r="C17" s="8"/>
      <c r="D17" s="28"/>
      <c r="E17" s="28"/>
      <c r="F17" s="28"/>
      <c r="G17" s="28"/>
      <c r="H17" s="28"/>
    </row>
    <row r="18" spans="1:10">
      <c r="A18" t="s">
        <v>9</v>
      </c>
      <c r="B18" s="16">
        <v>9.7589999999999996E-2</v>
      </c>
      <c r="C18" s="10"/>
      <c r="D18" s="10">
        <f>$B$18</f>
        <v>9.7589999999999996E-2</v>
      </c>
      <c r="E18" s="10">
        <f>$B$18</f>
        <v>9.7589999999999996E-2</v>
      </c>
      <c r="F18" s="10">
        <f>$B$18</f>
        <v>9.7589999999999996E-2</v>
      </c>
      <c r="G18" s="10">
        <f>$B$18</f>
        <v>9.7589999999999996E-2</v>
      </c>
      <c r="H18" s="10">
        <f>$B$18</f>
        <v>9.7589999999999996E-2</v>
      </c>
    </row>
    <row r="19" spans="1:10">
      <c r="A19" s="5" t="s">
        <v>10</v>
      </c>
      <c r="B19" s="5"/>
      <c r="C19" s="8"/>
      <c r="D19" s="74">
        <f>D16*D18/12*7</f>
        <v>11581226.765356746</v>
      </c>
      <c r="E19" s="8">
        <f>E16*E18</f>
        <v>21803963.573466156</v>
      </c>
      <c r="F19" s="8">
        <f>F16*F18</f>
        <v>22537505.805983886</v>
      </c>
      <c r="G19" s="8">
        <f>G16*G18</f>
        <v>23022152.438481409</v>
      </c>
      <c r="H19" s="8">
        <f>H16*H18</f>
        <v>23569157.685347591</v>
      </c>
      <c r="I19" s="8">
        <f>SUM(D19:H19)</f>
        <v>102514006.26863578</v>
      </c>
    </row>
    <row r="20" spans="1:10">
      <c r="C20" s="6"/>
      <c r="D20" s="6"/>
      <c r="E20" s="6"/>
      <c r="F20" s="6"/>
      <c r="G20" s="6"/>
      <c r="H20" s="6"/>
    </row>
    <row r="21" spans="1:10">
      <c r="A21" t="s">
        <v>11</v>
      </c>
      <c r="C21" s="6"/>
      <c r="D21" s="75">
        <f>10496564.5006475/12*7</f>
        <v>6122995.9587110411</v>
      </c>
      <c r="E21" s="6">
        <v>11336904.061747536</v>
      </c>
      <c r="F21" s="6">
        <v>11522500.641193254</v>
      </c>
      <c r="G21" s="6">
        <v>11776914.167763583</v>
      </c>
      <c r="H21" s="6">
        <v>12034088.306152927</v>
      </c>
      <c r="I21" s="8">
        <f>SUM(D21:H21)</f>
        <v>52793403.135568343</v>
      </c>
    </row>
    <row r="22" spans="1:10">
      <c r="A22" t="s">
        <v>4</v>
      </c>
      <c r="C22" s="6"/>
      <c r="D22" s="75">
        <f>-D9/12*7</f>
        <v>3136341.25</v>
      </c>
      <c r="E22" s="6">
        <f>-E9</f>
        <v>5916023</v>
      </c>
      <c r="F22" s="6">
        <f>-F9</f>
        <v>6178678</v>
      </c>
      <c r="G22" s="6">
        <f>-G9</f>
        <v>6292370</v>
      </c>
      <c r="H22" s="6">
        <f>-H9</f>
        <v>6641322</v>
      </c>
      <c r="I22" s="8">
        <f>SUM(D22:H22)</f>
        <v>28164734.25</v>
      </c>
    </row>
    <row r="23" spans="1:10">
      <c r="A23" t="s">
        <v>12</v>
      </c>
      <c r="C23" s="6"/>
      <c r="D23" s="75">
        <f>(D19)*0.28/(1-0.28)</f>
        <v>4503810.4087498458</v>
      </c>
      <c r="E23" s="6">
        <f>(E19)*0.28/(1-0.28)</f>
        <v>8479319.1674590614</v>
      </c>
      <c r="F23" s="6">
        <f>(F19)*0.28/(1-0.28)</f>
        <v>8764585.591215957</v>
      </c>
      <c r="G23" s="6">
        <f>(G19)*0.28/(1-0.28)</f>
        <v>8953059.2816316597</v>
      </c>
      <c r="H23" s="6">
        <f>(H19)*0.28/(1-0.28)</f>
        <v>9165783.5443018414</v>
      </c>
      <c r="I23" s="8">
        <f>SUM(D23:H23)</f>
        <v>39866557.993358366</v>
      </c>
      <c r="J23" s="11" t="s">
        <v>45</v>
      </c>
    </row>
    <row r="24" spans="1:10">
      <c r="A24" s="23" t="s">
        <v>44</v>
      </c>
      <c r="C24" s="6"/>
      <c r="D24" s="75">
        <f>((D46+D47)/12*7)+D49</f>
        <v>10925099.064863173</v>
      </c>
      <c r="E24" s="6">
        <f>E46+E47+E49</f>
        <v>13165084.821859172</v>
      </c>
      <c r="F24" s="6">
        <f>F46+F47+F49</f>
        <v>13378092.149935858</v>
      </c>
      <c r="G24" s="6">
        <f>G46+G47+G49</f>
        <v>13491078.999689076</v>
      </c>
      <c r="H24" s="6">
        <f>H46+H47+H49</f>
        <v>13595284.295905992</v>
      </c>
      <c r="I24" s="8">
        <f>SUM(D24:H24)</f>
        <v>64554639.332253277</v>
      </c>
      <c r="J24" s="11"/>
    </row>
    <row r="25" spans="1:10">
      <c r="C25" s="6"/>
      <c r="D25" s="6"/>
      <c r="E25" s="6"/>
      <c r="F25" s="6"/>
      <c r="G25" s="6"/>
      <c r="H25" s="6"/>
    </row>
    <row r="26" spans="1:10">
      <c r="A26" s="5" t="s">
        <v>13</v>
      </c>
      <c r="B26" s="8"/>
      <c r="C26" s="8"/>
      <c r="D26" s="74">
        <f t="shared" ref="D26:I26" si="1">D19+D21+D22+D23-D24</f>
        <v>14419275.317954456</v>
      </c>
      <c r="E26" s="8">
        <f t="shared" si="1"/>
        <v>34371124.980813578</v>
      </c>
      <c r="F26" s="8">
        <f t="shared" si="1"/>
        <v>35625177.888457239</v>
      </c>
      <c r="G26" s="8">
        <f t="shared" si="1"/>
        <v>36553416.888187587</v>
      </c>
      <c r="H26" s="8">
        <f t="shared" si="1"/>
        <v>37815067.239896372</v>
      </c>
      <c r="I26" s="8">
        <f t="shared" si="1"/>
        <v>158784062.31530923</v>
      </c>
    </row>
    <row r="27" spans="1:10">
      <c r="C27" s="6"/>
      <c r="D27" s="26"/>
      <c r="E27" s="26"/>
      <c r="F27" s="26"/>
      <c r="G27" s="26"/>
      <c r="H27" s="26"/>
      <c r="I27" s="26"/>
    </row>
    <row r="28" spans="1:10">
      <c r="A28" t="s">
        <v>18</v>
      </c>
      <c r="C28" s="6">
        <f>C53*C62</f>
        <v>18618675.575385191</v>
      </c>
      <c r="D28" s="75">
        <f>D53*D62/12*7</f>
        <v>10050743.225628028</v>
      </c>
      <c r="E28" s="6">
        <f t="shared" ref="E28:H29" si="2">E53*E62</f>
        <v>20546218.799176376</v>
      </c>
      <c r="F28" s="6">
        <f t="shared" si="2"/>
        <v>24536197.283139944</v>
      </c>
      <c r="G28" s="6">
        <f t="shared" si="2"/>
        <v>28282805.369323947</v>
      </c>
      <c r="H28" s="6">
        <f t="shared" si="2"/>
        <v>29173829.997538902</v>
      </c>
      <c r="I28" s="13">
        <f>SUM(D28:H28)</f>
        <v>112589794.67480719</v>
      </c>
    </row>
    <row r="29" spans="1:10">
      <c r="A29" t="s">
        <v>19</v>
      </c>
      <c r="C29" s="6">
        <f>C54*C63</f>
        <v>3623959.152940006</v>
      </c>
      <c r="D29" s="75">
        <f>D54*D63/12*7</f>
        <v>1786024.7680923925</v>
      </c>
      <c r="E29" s="6">
        <f t="shared" si="2"/>
        <v>3800891.3702639448</v>
      </c>
      <c r="F29" s="6">
        <f t="shared" si="2"/>
        <v>4486632.1501531927</v>
      </c>
      <c r="G29" s="6">
        <f t="shared" si="2"/>
        <v>5073788.9547585044</v>
      </c>
      <c r="H29" s="6">
        <f t="shared" si="2"/>
        <v>5226597.290372909</v>
      </c>
      <c r="I29" s="13">
        <f>SUM(D29:H29)</f>
        <v>20373934.533640943</v>
      </c>
    </row>
    <row r="30" spans="1:10">
      <c r="A30" t="s">
        <v>106</v>
      </c>
      <c r="C30" s="6"/>
      <c r="D30" s="75">
        <f>(D55-D56)*D64/12*7</f>
        <v>3078512.5</v>
      </c>
      <c r="E30" s="6">
        <f>(E55-E56)*E64</f>
        <v>5516616.1499999994</v>
      </c>
      <c r="F30" s="6">
        <f t="shared" ref="F30:H30" si="3">(F55-F56)*F64</f>
        <v>5742964.7668124987</v>
      </c>
      <c r="G30" s="6">
        <f t="shared" si="3"/>
        <v>5862272.4304006482</v>
      </c>
      <c r="H30" s="6">
        <f t="shared" si="3"/>
        <v>6042919.3451606845</v>
      </c>
      <c r="I30" s="13">
        <f>SUM(D30:H30)</f>
        <v>26243285.192373831</v>
      </c>
    </row>
    <row r="31" spans="1:10">
      <c r="A31" t="s">
        <v>107</v>
      </c>
      <c r="C31" s="6"/>
      <c r="D31" s="75">
        <f>D56*D64/2/12*7</f>
        <v>135756.25</v>
      </c>
      <c r="E31" s="6">
        <f>E56*E64/2</f>
        <v>237612.22499999998</v>
      </c>
      <c r="F31" s="6">
        <f t="shared" ref="F31:H31" si="4">F56*F64/2</f>
        <v>245156.41314374993</v>
      </c>
      <c r="G31" s="6">
        <f t="shared" si="4"/>
        <v>248332.37378780529</v>
      </c>
      <c r="H31" s="6">
        <f t="shared" si="4"/>
        <v>252895.35144220333</v>
      </c>
      <c r="I31" s="13">
        <f t="shared" ref="I31:I32" si="5">SUM(D31:H31)</f>
        <v>1119752.6133737585</v>
      </c>
    </row>
    <row r="32" spans="1:10">
      <c r="A32" t="s">
        <v>14</v>
      </c>
      <c r="C32" s="6"/>
      <c r="D32" s="75">
        <f>87000/12*7</f>
        <v>50750</v>
      </c>
      <c r="E32" s="6">
        <v>88827</v>
      </c>
      <c r="F32" s="6">
        <v>90692</v>
      </c>
      <c r="G32" s="6">
        <v>92597</v>
      </c>
      <c r="H32" s="6">
        <v>94541</v>
      </c>
      <c r="I32" s="13">
        <f t="shared" si="5"/>
        <v>417407</v>
      </c>
    </row>
    <row r="33" spans="1:10">
      <c r="A33" s="5" t="s">
        <v>15</v>
      </c>
      <c r="B33" s="5"/>
      <c r="C33" s="8">
        <f t="shared" ref="C33:H33" si="6">SUM(C28:C32)</f>
        <v>22242634.728325196</v>
      </c>
      <c r="D33" s="74">
        <f t="shared" si="6"/>
        <v>15101786.74372042</v>
      </c>
      <c r="E33" s="8">
        <f t="shared" si="6"/>
        <v>30190165.544440322</v>
      </c>
      <c r="F33" s="8">
        <f t="shared" si="6"/>
        <v>35101642.613249384</v>
      </c>
      <c r="G33" s="8">
        <f t="shared" si="6"/>
        <v>39559796.128270902</v>
      </c>
      <c r="H33" s="8">
        <f t="shared" si="6"/>
        <v>40790782.984514698</v>
      </c>
      <c r="I33" s="8">
        <f>SUM(D33:H33)</f>
        <v>160744174.01419574</v>
      </c>
    </row>
    <row r="34" spans="1:10">
      <c r="A34" s="5"/>
      <c r="B34" s="5"/>
      <c r="C34" s="8"/>
      <c r="D34" s="30"/>
      <c r="E34" s="30"/>
      <c r="F34" s="30"/>
      <c r="G34" s="30"/>
      <c r="H34" s="30"/>
      <c r="I34" s="6"/>
    </row>
    <row r="35" spans="1:10">
      <c r="A35" s="5" t="s">
        <v>50</v>
      </c>
      <c r="B35" s="8"/>
      <c r="C35" s="8"/>
      <c r="D35" s="8">
        <f>D33-D26</f>
        <v>682511.42576596327</v>
      </c>
      <c r="E35" s="8">
        <f>E33-E26</f>
        <v>-4180959.4363732561</v>
      </c>
      <c r="F35" s="8">
        <f>F33-F26</f>
        <v>-523535.27520785481</v>
      </c>
      <c r="G35" s="8">
        <f>G33-G26</f>
        <v>3006379.2400833145</v>
      </c>
      <c r="H35" s="8">
        <f>H33-H26</f>
        <v>2975715.7446183264</v>
      </c>
      <c r="J35" s="14"/>
    </row>
    <row r="36" spans="1:10">
      <c r="A36" s="5"/>
      <c r="B36" s="8"/>
      <c r="C36" s="8"/>
      <c r="D36" s="8"/>
      <c r="E36" s="8"/>
      <c r="F36" s="8"/>
      <c r="G36" s="8"/>
      <c r="H36" s="8"/>
      <c r="J36" s="14"/>
    </row>
    <row r="37" spans="1:10">
      <c r="A37" s="5" t="s">
        <v>16</v>
      </c>
      <c r="C37" s="6"/>
      <c r="D37" s="6">
        <f>D35*(1-0.28)</f>
        <v>491408.22655149351</v>
      </c>
      <c r="E37" s="6">
        <f>E35*(1-0.28)</f>
        <v>-3010290.7941887444</v>
      </c>
      <c r="F37" s="6">
        <f>F35*(1-0.28)</f>
        <v>-376945.39814965543</v>
      </c>
      <c r="G37" s="6">
        <f>G35*(1-0.28)</f>
        <v>2164593.0528599862</v>
      </c>
      <c r="H37" s="6">
        <f>H35*(1-0.28)</f>
        <v>2142515.336125195</v>
      </c>
    </row>
    <row r="38" spans="1:10">
      <c r="A38" s="5"/>
      <c r="C38" s="6"/>
      <c r="D38" s="6"/>
      <c r="E38" s="6"/>
      <c r="F38" s="6"/>
      <c r="G38" s="6"/>
      <c r="H38" s="6"/>
    </row>
    <row r="39" spans="1:10">
      <c r="A39" s="23" t="s">
        <v>103</v>
      </c>
      <c r="C39" s="6"/>
      <c r="D39" s="79">
        <f>8.5/12</f>
        <v>0.70833333333333337</v>
      </c>
      <c r="E39" s="43">
        <v>1.5</v>
      </c>
      <c r="F39" s="43">
        <v>2.5</v>
      </c>
      <c r="G39" s="43">
        <v>3.5</v>
      </c>
      <c r="H39" s="43">
        <v>4.5</v>
      </c>
    </row>
    <row r="40" spans="1:10" s="5" customFormat="1">
      <c r="A40" s="5" t="s">
        <v>17</v>
      </c>
      <c r="B40" s="45">
        <f>B18</f>
        <v>9.7589999999999996E-2</v>
      </c>
      <c r="C40" s="8"/>
      <c r="D40" s="8">
        <f>D37/(1+$B$40)^D39</f>
        <v>460041.8299811263</v>
      </c>
      <c r="E40" s="8">
        <f>E37/(1+$B$40)^E39</f>
        <v>-2617870.9756529708</v>
      </c>
      <c r="F40" s="8">
        <f t="shared" ref="F40:H40" si="7">F37/(1+$B$40)^F39</f>
        <v>-298660.70899977477</v>
      </c>
      <c r="G40" s="8">
        <f t="shared" si="7"/>
        <v>1562556.6256336842</v>
      </c>
      <c r="H40" s="8">
        <f t="shared" si="7"/>
        <v>1409104.8255741512</v>
      </c>
      <c r="I40" s="15">
        <f>SUM(D40:H40)</f>
        <v>515171.59653621609</v>
      </c>
      <c r="J40" s="27"/>
    </row>
    <row r="41" spans="1:10">
      <c r="A41" s="12"/>
      <c r="B41" s="10"/>
      <c r="C41" s="6"/>
      <c r="D41" s="44"/>
      <c r="E41" s="6"/>
      <c r="F41" s="6"/>
      <c r="G41" s="6"/>
      <c r="H41" s="6"/>
      <c r="J41" s="9"/>
    </row>
    <row r="43" spans="1:10">
      <c r="D43" s="10"/>
      <c r="E43" s="10"/>
      <c r="F43" s="10"/>
      <c r="G43" s="10"/>
      <c r="H43" s="10"/>
    </row>
    <row r="44" spans="1:10">
      <c r="A44" t="s">
        <v>33</v>
      </c>
      <c r="C44" s="10"/>
      <c r="D44" s="17">
        <v>2.1000000000000001E-2</v>
      </c>
      <c r="E44" s="17">
        <f>D44</f>
        <v>2.1000000000000001E-2</v>
      </c>
      <c r="F44" s="17">
        <f>E44</f>
        <v>2.1000000000000001E-2</v>
      </c>
      <c r="G44" s="17">
        <f>F44</f>
        <v>2.1000000000000001E-2</v>
      </c>
      <c r="H44" s="17">
        <f>G44</f>
        <v>2.1000000000000001E-2</v>
      </c>
    </row>
    <row r="45" spans="1:10">
      <c r="C45" s="10"/>
      <c r="D45" s="48"/>
      <c r="E45" s="48"/>
      <c r="F45" s="48"/>
      <c r="G45" s="48"/>
      <c r="H45" s="48"/>
    </row>
    <row r="46" spans="1:10">
      <c r="A46" t="s">
        <v>34</v>
      </c>
      <c r="C46" s="10"/>
      <c r="D46" s="34">
        <f>C6*D44</f>
        <v>1656820.8720000002</v>
      </c>
      <c r="E46" s="34">
        <f>D6*E44</f>
        <v>1693758.210312</v>
      </c>
      <c r="F46" s="34">
        <f>E6*F44</f>
        <v>1729327.1327285517</v>
      </c>
      <c r="G46" s="34">
        <f>F6*G44</f>
        <v>1765643.0025158513</v>
      </c>
      <c r="H46" s="34">
        <f>G6*H44</f>
        <v>1802721.5055686843</v>
      </c>
      <c r="I46" s="21">
        <f>SUM(D46:H46)</f>
        <v>8648270.7231250871</v>
      </c>
    </row>
    <row r="47" spans="1:10" ht="24.75" customHeight="1">
      <c r="A47" t="s">
        <v>35</v>
      </c>
      <c r="C47" s="10"/>
      <c r="D47" s="34">
        <f>D8*(0.955*D44)</f>
        <v>2195585.4614400002</v>
      </c>
      <c r="E47" s="34">
        <f>E8*(0.965*E44)</f>
        <v>2793464.5745239975</v>
      </c>
      <c r="F47" s="34">
        <f>F8*(0.969*F44)</f>
        <v>2970902.9801841332</v>
      </c>
      <c r="G47" s="34">
        <f>G8*(0.971*G44)</f>
        <v>3047573.9601500519</v>
      </c>
      <c r="H47" s="34">
        <f>H8*(0.973*H44)</f>
        <v>3114700.7533141356</v>
      </c>
      <c r="I47" s="21">
        <f>SUM(D47:H47)</f>
        <v>14122227.729612319</v>
      </c>
      <c r="J47" s="2" t="s">
        <v>109</v>
      </c>
    </row>
    <row r="48" spans="1:10">
      <c r="C48" s="10"/>
      <c r="D48" s="56"/>
      <c r="E48" s="56"/>
      <c r="F48" s="56"/>
      <c r="G48" s="56"/>
      <c r="H48" s="56"/>
      <c r="I48" s="57"/>
    </row>
    <row r="49" spans="1:10">
      <c r="A49" t="s">
        <v>36</v>
      </c>
      <c r="B49" s="38">
        <v>30113828</v>
      </c>
      <c r="C49" s="10">
        <f>B18/(1-0.28)</f>
        <v>0.13554166666666667</v>
      </c>
      <c r="D49" s="34">
        <f>-PMT($C$49,5,$B$49,0)</f>
        <v>8677862.0370231736</v>
      </c>
      <c r="E49" s="34">
        <f>-PMT($C$49,5,$B$49,0)</f>
        <v>8677862.0370231736</v>
      </c>
      <c r="F49" s="34">
        <f>-PMT($C$49,5,$B$49,0)</f>
        <v>8677862.0370231736</v>
      </c>
      <c r="G49" s="34">
        <f>-PMT($C$49,5,$B$49,0)</f>
        <v>8677862.0370231736</v>
      </c>
      <c r="H49" s="34">
        <f>-PMT($C$49,5,$B$49,0)</f>
        <v>8677862.0370231736</v>
      </c>
      <c r="I49" s="21">
        <f>SUM(D49:H49)</f>
        <v>43389310.185115866</v>
      </c>
    </row>
    <row r="50" spans="1:10">
      <c r="B50" s="38"/>
      <c r="C50" s="10"/>
      <c r="D50" s="34"/>
      <c r="E50" s="34"/>
      <c r="F50" s="34"/>
      <c r="G50" s="34"/>
      <c r="H50" s="34"/>
    </row>
    <row r="51" spans="1:10">
      <c r="A51" t="s">
        <v>52</v>
      </c>
      <c r="B51" s="34"/>
      <c r="C51" s="10"/>
      <c r="D51" s="34">
        <f>SUM(D46:D49)</f>
        <v>12530268.370463174</v>
      </c>
      <c r="E51" s="34">
        <f>SUM(E46:E49)</f>
        <v>13165084.821859172</v>
      </c>
      <c r="F51" s="34">
        <f>SUM(F46:F49)</f>
        <v>13378092.149935858</v>
      </c>
      <c r="G51" s="34">
        <f>SUM(G46:G49)</f>
        <v>13491078.999689076</v>
      </c>
      <c r="H51" s="34">
        <f>SUM(H46:H49)</f>
        <v>13595284.295905992</v>
      </c>
      <c r="I51" s="21">
        <f>SUM(D51:H51)</f>
        <v>66159808.637853265</v>
      </c>
    </row>
    <row r="52" spans="1:10">
      <c r="B52" s="38"/>
      <c r="C52" s="10"/>
      <c r="D52" s="38"/>
      <c r="E52" s="38"/>
      <c r="F52" s="38"/>
      <c r="G52" s="38"/>
      <c r="H52" s="38"/>
      <c r="I52" s="21"/>
    </row>
    <row r="53" spans="1:10">
      <c r="A53" t="s">
        <v>24</v>
      </c>
      <c r="C53" s="6">
        <v>1431104.9635192307</v>
      </c>
      <c r="D53" s="21">
        <f t="shared" ref="D53:H55" si="8">C53*(1+D58)</f>
        <v>1402917.3720384617</v>
      </c>
      <c r="E53" s="21">
        <f t="shared" si="8"/>
        <v>1428649.5960384617</v>
      </c>
      <c r="F53" s="21">
        <f t="shared" si="8"/>
        <v>1454464.2697884617</v>
      </c>
      <c r="G53" s="21">
        <f t="shared" si="8"/>
        <v>1485650.7394038464</v>
      </c>
      <c r="H53" s="21">
        <f t="shared" si="8"/>
        <v>1500935.2052884619</v>
      </c>
      <c r="I53" s="20">
        <f>(H53-C53)/C53</f>
        <v>4.8794633202523162E-2</v>
      </c>
      <c r="J53" s="2" t="s">
        <v>26</v>
      </c>
    </row>
    <row r="54" spans="1:10">
      <c r="A54" t="s">
        <v>25</v>
      </c>
      <c r="C54" s="6">
        <v>389254.47400000063</v>
      </c>
      <c r="D54" s="21">
        <f t="shared" si="8"/>
        <v>410571.20400000061</v>
      </c>
      <c r="E54" s="21">
        <f t="shared" si="8"/>
        <v>436002.26900000061</v>
      </c>
      <c r="F54" s="21">
        <f t="shared" si="8"/>
        <v>436525.83400000067</v>
      </c>
      <c r="G54" s="21">
        <f t="shared" si="8"/>
        <v>439388.62400000071</v>
      </c>
      <c r="H54" s="21">
        <f t="shared" si="8"/>
        <v>443312.22400000069</v>
      </c>
      <c r="I54" s="20">
        <f t="shared" ref="I54:I56" si="9">(H54-C54)/C54</f>
        <v>0.13887508971830076</v>
      </c>
      <c r="J54" s="2" t="s">
        <v>26</v>
      </c>
    </row>
    <row r="55" spans="1:10">
      <c r="A55" t="s">
        <v>31</v>
      </c>
      <c r="C55" s="6">
        <v>37447</v>
      </c>
      <c r="D55" s="21">
        <f t="shared" si="8"/>
        <v>38286</v>
      </c>
      <c r="E55" s="21">
        <f t="shared" si="8"/>
        <v>39124</v>
      </c>
      <c r="F55" s="21">
        <f t="shared" si="8"/>
        <v>39448</v>
      </c>
      <c r="G55" s="21">
        <f t="shared" si="8"/>
        <v>39830.999999999993</v>
      </c>
      <c r="H55" s="21">
        <f t="shared" si="8"/>
        <v>40175.999999999993</v>
      </c>
      <c r="I55" s="20">
        <f t="shared" si="9"/>
        <v>7.2876331882393591E-2</v>
      </c>
    </row>
    <row r="56" spans="1:10">
      <c r="A56" t="s">
        <v>122</v>
      </c>
      <c r="C56" s="6">
        <v>3033</v>
      </c>
      <c r="D56" s="21">
        <v>3103</v>
      </c>
      <c r="E56" s="21">
        <v>3103</v>
      </c>
      <c r="F56" s="21">
        <v>3103</v>
      </c>
      <c r="G56" s="21">
        <v>3111</v>
      </c>
      <c r="H56" s="21">
        <v>3103</v>
      </c>
      <c r="I56" s="20">
        <f t="shared" si="9"/>
        <v>2.3079459281239698E-2</v>
      </c>
    </row>
    <row r="57" spans="1:10">
      <c r="C57" s="34"/>
      <c r="D57" s="21"/>
      <c r="E57" s="21"/>
      <c r="F57" s="21"/>
      <c r="G57" s="21"/>
      <c r="H57" s="21"/>
    </row>
    <row r="58" spans="1:10">
      <c r="A58" t="s">
        <v>20</v>
      </c>
      <c r="C58" s="10"/>
      <c r="D58" s="59">
        <v>-1.9696383004257682E-2</v>
      </c>
      <c r="E58" s="59">
        <v>1.8341938387013191E-2</v>
      </c>
      <c r="F58" s="59">
        <v>1.8069282923945964E-2</v>
      </c>
      <c r="G58" s="59">
        <v>2.1441894629642903E-2</v>
      </c>
      <c r="H58" s="59">
        <v>1.0288061304872165E-2</v>
      </c>
      <c r="J58" s="2" t="s">
        <v>26</v>
      </c>
    </row>
    <row r="59" spans="1:10">
      <c r="A59" t="s">
        <v>21</v>
      </c>
      <c r="C59" s="10"/>
      <c r="D59" s="59">
        <v>5.4762967220255886E-2</v>
      </c>
      <c r="E59" s="59">
        <v>6.194069323965537E-2</v>
      </c>
      <c r="F59" s="59">
        <v>1.2008309066850328E-3</v>
      </c>
      <c r="G59" s="59">
        <v>6.5581227433151945E-3</v>
      </c>
      <c r="H59" s="59">
        <v>8.9296804370610442E-3</v>
      </c>
      <c r="I59" s="10"/>
      <c r="J59" s="2" t="s">
        <v>26</v>
      </c>
    </row>
    <row r="60" spans="1:10">
      <c r="A60" t="s">
        <v>32</v>
      </c>
      <c r="C60" s="10"/>
      <c r="D60" s="59">
        <v>2.2404999065345689E-2</v>
      </c>
      <c r="E60" s="59">
        <v>2.1887896358982396E-2</v>
      </c>
      <c r="F60" s="59">
        <v>8.2813618239443824E-3</v>
      </c>
      <c r="G60" s="59">
        <v>9.7089839789089426E-3</v>
      </c>
      <c r="H60" s="59">
        <v>8.6615952398885285E-3</v>
      </c>
    </row>
    <row r="61" spans="1:10">
      <c r="C61" s="10"/>
      <c r="D61" s="35"/>
      <c r="E61" s="35"/>
      <c r="F61" s="35"/>
      <c r="G61" s="35"/>
      <c r="H61" s="35"/>
    </row>
    <row r="62" spans="1:10">
      <c r="A62" t="s">
        <v>27</v>
      </c>
      <c r="C62" s="36">
        <v>13.01</v>
      </c>
      <c r="D62" s="36">
        <f t="shared" ref="D62:H64" si="10">C62*(1+D66)</f>
        <v>12.28144</v>
      </c>
      <c r="E62" s="36">
        <f t="shared" si="10"/>
        <v>14.38156624</v>
      </c>
      <c r="F62" s="36">
        <f t="shared" si="10"/>
        <v>16.869577199520002</v>
      </c>
      <c r="G62" s="36">
        <f t="shared" si="10"/>
        <v>19.037317869658324</v>
      </c>
      <c r="H62" s="36">
        <f t="shared" si="10"/>
        <v>19.437101544921148</v>
      </c>
    </row>
    <row r="63" spans="1:10">
      <c r="A63" t="s">
        <v>28</v>
      </c>
      <c r="C63" s="36">
        <v>9.31</v>
      </c>
      <c r="D63" s="36">
        <f t="shared" si="10"/>
        <v>7.4573099999999997</v>
      </c>
      <c r="E63" s="36">
        <f t="shared" si="10"/>
        <v>8.7175953899999996</v>
      </c>
      <c r="F63" s="36">
        <f t="shared" si="10"/>
        <v>10.27804496481</v>
      </c>
      <c r="G63" s="36">
        <f t="shared" si="10"/>
        <v>11.547383517964034</v>
      </c>
      <c r="H63" s="36">
        <f t="shared" si="10"/>
        <v>11.789878571841278</v>
      </c>
    </row>
    <row r="64" spans="1:10">
      <c r="A64" t="s">
        <v>30</v>
      </c>
      <c r="C64" s="36"/>
      <c r="D64" s="36">
        <v>150</v>
      </c>
      <c r="E64" s="36">
        <f>D64*(1+E68)</f>
        <v>153.14999999999998</v>
      </c>
      <c r="F64" s="36">
        <f t="shared" si="10"/>
        <v>158.01251249999996</v>
      </c>
      <c r="G64" s="36">
        <f t="shared" si="10"/>
        <v>159.64794200437498</v>
      </c>
      <c r="H64" s="36">
        <f t="shared" si="10"/>
        <v>163.00054878646685</v>
      </c>
    </row>
    <row r="65" spans="1:10">
      <c r="C65" s="36"/>
      <c r="D65" s="36"/>
      <c r="E65" s="36"/>
      <c r="F65" s="36"/>
      <c r="G65" s="36"/>
      <c r="H65" s="36"/>
    </row>
    <row r="66" spans="1:10">
      <c r="A66" t="s">
        <v>22</v>
      </c>
      <c r="C66" s="10"/>
      <c r="D66" s="18">
        <v>-5.6000000000000001E-2</v>
      </c>
      <c r="E66" s="18">
        <v>0.17100000000000001</v>
      </c>
      <c r="F66" s="18">
        <v>0.17299999999999999</v>
      </c>
      <c r="G66" s="18">
        <v>0.1285</v>
      </c>
      <c r="H66" s="18">
        <v>2.1000000000000001E-2</v>
      </c>
      <c r="J66" s="2" t="s">
        <v>26</v>
      </c>
    </row>
    <row r="67" spans="1:10">
      <c r="A67" t="s">
        <v>23</v>
      </c>
      <c r="D67" s="18">
        <v>-0.19900000000000001</v>
      </c>
      <c r="E67" s="18">
        <v>0.16900000000000001</v>
      </c>
      <c r="F67" s="18">
        <v>0.17899999999999999</v>
      </c>
      <c r="G67" s="18">
        <v>0.1235</v>
      </c>
      <c r="H67" s="18">
        <v>2.1000000000000001E-2</v>
      </c>
      <c r="J67" s="2" t="s">
        <v>26</v>
      </c>
    </row>
    <row r="68" spans="1:10">
      <c r="A68" s="23" t="s">
        <v>29</v>
      </c>
      <c r="E68" s="37">
        <v>2.1000000000000001E-2</v>
      </c>
      <c r="F68" s="37">
        <v>3.175E-2</v>
      </c>
      <c r="G68" s="37">
        <v>1.035E-2</v>
      </c>
      <c r="H68" s="37">
        <v>2.1000000000000001E-2</v>
      </c>
      <c r="J68" s="2" t="s">
        <v>26</v>
      </c>
    </row>
    <row r="69" spans="1:10">
      <c r="D69" s="10"/>
      <c r="E69" s="10"/>
      <c r="F69" s="10"/>
      <c r="G69" s="10"/>
      <c r="H69" s="10"/>
    </row>
    <row r="71" spans="1:10">
      <c r="D71" s="6"/>
      <c r="E71" s="6"/>
      <c r="F71" s="6"/>
      <c r="G71" s="6"/>
      <c r="H71" s="6"/>
    </row>
    <row r="72" spans="1:10">
      <c r="D72" s="6"/>
    </row>
    <row r="73" spans="1:10">
      <c r="A73" s="5" t="s">
        <v>97</v>
      </c>
      <c r="D73" s="21"/>
      <c r="E73" s="21"/>
      <c r="F73" s="21"/>
      <c r="G73" s="21"/>
      <c r="H73" s="21"/>
      <c r="I73" s="21"/>
    </row>
    <row r="74" spans="1:10">
      <c r="A74" t="s">
        <v>38</v>
      </c>
      <c r="D74" s="58">
        <v>6122995.958711057</v>
      </c>
      <c r="E74" s="58">
        <v>11336904.061747536</v>
      </c>
      <c r="F74" s="58">
        <v>11522500.641193254</v>
      </c>
      <c r="G74" s="58">
        <v>11776914.167763583</v>
      </c>
      <c r="H74" s="58">
        <v>12034088.306152927</v>
      </c>
    </row>
    <row r="75" spans="1:10">
      <c r="A75" t="s">
        <v>39</v>
      </c>
      <c r="D75" s="58">
        <v>3136341.1284170309</v>
      </c>
      <c r="E75" s="58">
        <v>5916023.2371689109</v>
      </c>
      <c r="F75" s="58">
        <v>6178678.2580978964</v>
      </c>
      <c r="G75" s="58">
        <v>6292369.6433145013</v>
      </c>
      <c r="H75" s="58">
        <v>6641322.2084832266</v>
      </c>
      <c r="I75" s="26">
        <f>SUM(D75:H75)</f>
        <v>28164734.475481566</v>
      </c>
    </row>
    <row r="76" spans="1:10">
      <c r="A76" t="s">
        <v>40</v>
      </c>
      <c r="C76" s="6"/>
      <c r="D76" s="58">
        <v>16085165.650684176</v>
      </c>
      <c r="E76" s="58">
        <v>30283579.99953942</v>
      </c>
      <c r="F76" s="58">
        <v>31302415.723378748</v>
      </c>
      <c r="G76" s="58">
        <v>31975508.782503664</v>
      </c>
      <c r="H76" s="58">
        <v>32735199.347592589</v>
      </c>
    </row>
    <row r="77" spans="1:10">
      <c r="A77" t="s">
        <v>41</v>
      </c>
      <c r="C77" s="6"/>
      <c r="D77" s="58">
        <v>-2247381.9467803347</v>
      </c>
      <c r="E77" s="58">
        <v>-4487815.844126204</v>
      </c>
      <c r="F77" s="58">
        <v>-4699926.0335926283</v>
      </c>
      <c r="G77" s="58">
        <v>-4813045.3744922439</v>
      </c>
      <c r="H77" s="58">
        <v>-4916936.3474122193</v>
      </c>
      <c r="I77" s="26">
        <f>SUM(D77:H77)</f>
        <v>-21165105.546403632</v>
      </c>
    </row>
    <row r="78" spans="1:10">
      <c r="A78" t="s">
        <v>42</v>
      </c>
      <c r="D78" s="58">
        <v>-8677883.0482765622</v>
      </c>
      <c r="E78" s="58">
        <v>-8677883.0482765622</v>
      </c>
      <c r="F78" s="58">
        <v>-8677883.0482765622</v>
      </c>
      <c r="G78" s="58">
        <v>-8677883.0482765622</v>
      </c>
      <c r="H78" s="58">
        <v>-8677883.0482765622</v>
      </c>
    </row>
    <row r="79" spans="1:10">
      <c r="A79" t="s">
        <v>110</v>
      </c>
      <c r="D79" s="58">
        <v>-50750</v>
      </c>
      <c r="E79" s="58">
        <v>-88826.999999999985</v>
      </c>
      <c r="F79" s="58">
        <v>-90692.366999999984</v>
      </c>
      <c r="G79" s="58">
        <v>-92596.906706999973</v>
      </c>
      <c r="H79" s="58">
        <v>-94541.44174784697</v>
      </c>
      <c r="I79" s="26">
        <f>SUM(D79:H79)</f>
        <v>-417407.71545484691</v>
      </c>
    </row>
    <row r="80" spans="1:10">
      <c r="A80" t="s">
        <v>43</v>
      </c>
      <c r="D80" s="61">
        <v>14368487.742755368</v>
      </c>
      <c r="E80" s="61">
        <v>34281981.406053096</v>
      </c>
      <c r="F80" s="61">
        <v>35535093.173800707</v>
      </c>
      <c r="G80" s="61">
        <v>36461267.264105953</v>
      </c>
      <c r="H80" s="61">
        <v>37721249.024792105</v>
      </c>
      <c r="I80" s="26">
        <f>SUM(D80:H80)</f>
        <v>158368078.61150724</v>
      </c>
    </row>
    <row r="81" spans="1:9">
      <c r="C81" s="6"/>
      <c r="D81" s="6"/>
      <c r="E81" s="6"/>
      <c r="F81" s="6"/>
      <c r="G81" s="6"/>
      <c r="H81" s="6"/>
    </row>
    <row r="82" spans="1:9">
      <c r="D82" s="40"/>
      <c r="E82" s="40"/>
      <c r="F82" s="40"/>
      <c r="G82" s="40"/>
      <c r="H82" s="40"/>
      <c r="I82" s="6"/>
    </row>
    <row r="83" spans="1:9">
      <c r="D83" s="26"/>
      <c r="E83" s="26"/>
      <c r="F83" s="26"/>
      <c r="G83" s="26"/>
      <c r="H83" s="26"/>
    </row>
    <row r="85" spans="1:9">
      <c r="D85" s="26"/>
      <c r="E85" s="26"/>
      <c r="F85" s="26"/>
      <c r="G85" s="26"/>
      <c r="H85" s="26"/>
    </row>
    <row r="88" spans="1:9">
      <c r="A88" s="5"/>
    </row>
    <row r="101" spans="1:8">
      <c r="A101" s="5"/>
    </row>
    <row r="102" spans="1:8">
      <c r="D102" s="10"/>
      <c r="E102" s="10"/>
      <c r="F102" s="10"/>
      <c r="G102" s="10"/>
      <c r="H102" s="10"/>
    </row>
    <row r="103" spans="1:8">
      <c r="D103" s="6"/>
      <c r="E103" s="6"/>
      <c r="F103" s="6"/>
      <c r="G103" s="6"/>
      <c r="H103" s="6"/>
    </row>
    <row r="104" spans="1:8">
      <c r="D104" s="6"/>
      <c r="E104" s="6"/>
      <c r="F104" s="6"/>
      <c r="G104" s="6"/>
      <c r="H104" s="6"/>
    </row>
    <row r="106" spans="1:8">
      <c r="D106" s="6"/>
      <c r="E106" s="6"/>
      <c r="F106" s="6"/>
      <c r="G106" s="6"/>
      <c r="H106" s="6"/>
    </row>
    <row r="108" spans="1:8">
      <c r="D108" s="6"/>
      <c r="E108" s="6"/>
      <c r="F108" s="6"/>
      <c r="G108" s="6"/>
      <c r="H108" s="6"/>
    </row>
    <row r="109" spans="1:8">
      <c r="D109" s="6"/>
    </row>
    <row r="110" spans="1:8">
      <c r="D110" s="6"/>
    </row>
    <row r="111" spans="1:8">
      <c r="D111" s="6"/>
    </row>
  </sheetData>
  <printOptions gridLines="1"/>
  <pageMargins left="0.74803149606299213" right="0.74803149606299213" top="0.98425196850393704" bottom="0.98425196850393704" header="0.51181102362204722" footer="0.51181102362204722"/>
  <pageSetup paperSize="9" scale="45" orientation="landscape" verticalDpi="0" r:id="rId1"/>
  <headerFooter alignWithMargins="0">
    <oddFooter>&amp;LBARNZ ALTERNATIVE REVENUE MODELLING&amp;C &amp;RSEPTMBER 2012</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11"/>
  <sheetViews>
    <sheetView zoomScaleNormal="100" workbookViewId="0">
      <pane ySplit="4" topLeftCell="A11" activePane="bottomLeft" state="frozenSplit"/>
      <selection pane="bottomLeft" activeCell="D1" sqref="D1"/>
    </sheetView>
  </sheetViews>
  <sheetFormatPr defaultRowHeight="12.75"/>
  <cols>
    <col min="1" max="1" width="40.42578125" customWidth="1"/>
    <col min="2" max="8" width="13.7109375" customWidth="1"/>
    <col min="9" max="9" width="15.42578125" customWidth="1"/>
    <col min="10" max="10" width="115.5703125" style="2" customWidth="1"/>
  </cols>
  <sheetData>
    <row r="1" spans="1:10" ht="18">
      <c r="A1" s="1" t="s">
        <v>115</v>
      </c>
    </row>
    <row r="3" spans="1:10" ht="18">
      <c r="A3" s="1" t="s">
        <v>0</v>
      </c>
      <c r="B3" s="3"/>
      <c r="C3" s="3"/>
      <c r="D3" s="73" t="s">
        <v>108</v>
      </c>
    </row>
    <row r="4" spans="1:10">
      <c r="B4" s="4" t="s">
        <v>102</v>
      </c>
      <c r="C4" s="4">
        <v>2012</v>
      </c>
      <c r="D4" s="4">
        <v>2013</v>
      </c>
      <c r="E4" s="4">
        <v>2014</v>
      </c>
      <c r="F4" s="4">
        <v>2015</v>
      </c>
      <c r="G4" s="4">
        <v>2016</v>
      </c>
      <c r="H4" s="4">
        <v>2017</v>
      </c>
      <c r="I4" s="4" t="s">
        <v>1</v>
      </c>
      <c r="J4" s="27" t="s">
        <v>46</v>
      </c>
    </row>
    <row r="5" spans="1:10">
      <c r="A5" s="5" t="s">
        <v>2</v>
      </c>
    </row>
    <row r="6" spans="1:10">
      <c r="A6" t="s">
        <v>121</v>
      </c>
      <c r="C6" s="26">
        <v>78896232</v>
      </c>
      <c r="D6" s="6">
        <f>C6+D46+102100</f>
        <v>80655152.871999994</v>
      </c>
      <c r="E6" s="6">
        <f>D6+E46</f>
        <v>82348911.082311988</v>
      </c>
      <c r="F6" s="6">
        <f>E6+F46</f>
        <v>84078238.215040535</v>
      </c>
      <c r="G6" s="6">
        <f>F6+G46</f>
        <v>85843881.217556387</v>
      </c>
      <c r="H6" s="6">
        <f>G6+H46</f>
        <v>87646602.72312507</v>
      </c>
    </row>
    <row r="7" spans="1:10">
      <c r="C7" s="6"/>
      <c r="D7" s="6"/>
      <c r="E7" s="6"/>
      <c r="F7" s="6"/>
      <c r="G7" s="6"/>
      <c r="H7" s="6"/>
    </row>
    <row r="8" spans="1:10">
      <c r="A8" t="s">
        <v>3</v>
      </c>
      <c r="C8" s="6"/>
      <c r="D8" s="6">
        <f>C12</f>
        <v>109478208</v>
      </c>
      <c r="E8" s="6">
        <f>D12</f>
        <v>137846759.167234</v>
      </c>
      <c r="F8" s="6">
        <f>E12</f>
        <v>145997492.76053533</v>
      </c>
      <c r="G8" s="6">
        <f>F12</f>
        <v>149456817.23064351</v>
      </c>
      <c r="H8" s="6">
        <f>G12</f>
        <v>152434823.73191091</v>
      </c>
    </row>
    <row r="9" spans="1:10">
      <c r="A9" t="s">
        <v>4</v>
      </c>
      <c r="C9" s="20"/>
      <c r="D9" s="47">
        <v>-5376585</v>
      </c>
      <c r="E9" s="47">
        <v>-5916023</v>
      </c>
      <c r="F9" s="47">
        <v>-6178678</v>
      </c>
      <c r="G9" s="47">
        <v>-6292370</v>
      </c>
      <c r="H9" s="47">
        <v>-6641322</v>
      </c>
      <c r="I9" s="20"/>
    </row>
    <row r="10" spans="1:10">
      <c r="A10" t="s">
        <v>5</v>
      </c>
      <c r="C10" s="7"/>
      <c r="D10" s="55">
        <v>31549550.705794018</v>
      </c>
      <c r="E10" s="55">
        <v>11273292.018777343</v>
      </c>
      <c r="F10" s="55">
        <v>6667099.489924049</v>
      </c>
      <c r="G10" s="55">
        <v>6222802.5411173375</v>
      </c>
      <c r="H10" s="55">
        <v>8190522.7420204896</v>
      </c>
      <c r="J10" s="24"/>
    </row>
    <row r="11" spans="1:10">
      <c r="A11" t="s">
        <v>37</v>
      </c>
      <c r="C11" s="7"/>
      <c r="D11" s="7">
        <f>D47</f>
        <v>2195585.4614400002</v>
      </c>
      <c r="E11" s="7">
        <f>E47</f>
        <v>2793464.5745239975</v>
      </c>
      <c r="F11" s="7">
        <f>F47</f>
        <v>2970902.9801841332</v>
      </c>
      <c r="G11" s="7">
        <f>G47</f>
        <v>3047573.9601500519</v>
      </c>
      <c r="H11" s="7">
        <f>H47</f>
        <v>3114700.7533141356</v>
      </c>
      <c r="I11" s="53"/>
    </row>
    <row r="12" spans="1:10">
      <c r="A12" t="s">
        <v>6</v>
      </c>
      <c r="C12" s="26">
        <f>188374440-C6</f>
        <v>109478208</v>
      </c>
      <c r="D12" s="6">
        <f>SUM(D8:D11)</f>
        <v>137846759.167234</v>
      </c>
      <c r="E12" s="6">
        <f>SUM(E8:E11)</f>
        <v>145997492.76053533</v>
      </c>
      <c r="F12" s="6">
        <f>SUM(F8:F11)</f>
        <v>149456817.23064351</v>
      </c>
      <c r="G12" s="6">
        <f>SUM(G8:G11)</f>
        <v>152434823.73191091</v>
      </c>
      <c r="H12" s="6">
        <f>SUM(H8:H11)</f>
        <v>157098725.22724554</v>
      </c>
    </row>
    <row r="13" spans="1:10">
      <c r="C13" s="6"/>
      <c r="D13" s="6"/>
      <c r="E13" s="6"/>
      <c r="F13" s="6"/>
      <c r="G13" s="6"/>
      <c r="H13" s="6"/>
    </row>
    <row r="14" spans="1:10">
      <c r="A14" s="5" t="s">
        <v>7</v>
      </c>
      <c r="B14" s="8"/>
      <c r="C14" s="8">
        <f t="shared" ref="C14:H14" si="0">C6+C12</f>
        <v>188374440</v>
      </c>
      <c r="D14" s="8">
        <f t="shared" si="0"/>
        <v>218501912.03923398</v>
      </c>
      <c r="E14" s="8">
        <f t="shared" si="0"/>
        <v>228346403.84284732</v>
      </c>
      <c r="F14" s="8">
        <f t="shared" si="0"/>
        <v>233535055.44568405</v>
      </c>
      <c r="G14" s="8">
        <f t="shared" si="0"/>
        <v>238278704.9494673</v>
      </c>
      <c r="H14" s="8">
        <f t="shared" si="0"/>
        <v>244745327.95037061</v>
      </c>
      <c r="I14" s="6"/>
    </row>
    <row r="15" spans="1:10">
      <c r="A15" s="5"/>
      <c r="B15" s="8"/>
      <c r="C15" s="28"/>
      <c r="D15" s="40"/>
      <c r="E15" s="40"/>
      <c r="F15" s="40"/>
      <c r="G15" s="40"/>
      <c r="H15" s="40"/>
      <c r="I15" s="6"/>
    </row>
    <row r="16" spans="1:10">
      <c r="A16" s="5" t="s">
        <v>8</v>
      </c>
      <c r="B16" s="8"/>
      <c r="C16" s="8"/>
      <c r="D16" s="8">
        <f>(C14+D14)/2</f>
        <v>203438176.01961699</v>
      </c>
      <c r="E16" s="8">
        <f>(D14+E14)/2</f>
        <v>223424157.94104064</v>
      </c>
      <c r="F16" s="8">
        <f>(E14+F14)/2</f>
        <v>230940729.64426568</v>
      </c>
      <c r="G16" s="8">
        <f>(F14+G14)/2</f>
        <v>235906880.19757569</v>
      </c>
      <c r="H16" s="8">
        <f>(G14+H14)/2</f>
        <v>241512016.44991896</v>
      </c>
      <c r="J16" s="9"/>
    </row>
    <row r="17" spans="1:10">
      <c r="A17" s="5"/>
      <c r="B17" s="8"/>
      <c r="C17" s="8"/>
      <c r="D17" s="28"/>
      <c r="E17" s="28"/>
      <c r="F17" s="28"/>
      <c r="G17" s="28"/>
      <c r="H17" s="28"/>
    </row>
    <row r="18" spans="1:10">
      <c r="A18" t="s">
        <v>9</v>
      </c>
      <c r="B18" s="16">
        <f>Summary!B37</f>
        <v>8.0699999999999994E-2</v>
      </c>
      <c r="C18" s="10"/>
      <c r="D18" s="10">
        <f>$B$18</f>
        <v>8.0699999999999994E-2</v>
      </c>
      <c r="E18" s="10">
        <f>$B$18</f>
        <v>8.0699999999999994E-2</v>
      </c>
      <c r="F18" s="10">
        <f>$B$18</f>
        <v>8.0699999999999994E-2</v>
      </c>
      <c r="G18" s="10">
        <f>$B$18</f>
        <v>8.0699999999999994E-2</v>
      </c>
      <c r="H18" s="10">
        <f>$B$18</f>
        <v>8.0699999999999994E-2</v>
      </c>
    </row>
    <row r="19" spans="1:10">
      <c r="A19" s="5" t="s">
        <v>10</v>
      </c>
      <c r="B19" s="5"/>
      <c r="C19" s="8"/>
      <c r="D19" s="74">
        <f>D16*D18/12*7</f>
        <v>9576852.1361234691</v>
      </c>
      <c r="E19" s="8">
        <f>E16*E18</f>
        <v>18030329.545841977</v>
      </c>
      <c r="F19" s="8">
        <f>F16*F18</f>
        <v>18636916.882292241</v>
      </c>
      <c r="G19" s="8">
        <f>G16*G18</f>
        <v>19037685.231944356</v>
      </c>
      <c r="H19" s="8">
        <f>H16*H18</f>
        <v>19490019.727508459</v>
      </c>
      <c r="I19" s="8">
        <f>SUM(D19:H19)</f>
        <v>84771803.523710504</v>
      </c>
    </row>
    <row r="20" spans="1:10">
      <c r="C20" s="6"/>
      <c r="D20" s="6"/>
      <c r="E20" s="6"/>
      <c r="F20" s="6"/>
      <c r="G20" s="6"/>
      <c r="H20" s="6"/>
    </row>
    <row r="21" spans="1:10">
      <c r="A21" t="s">
        <v>11</v>
      </c>
      <c r="C21" s="6"/>
      <c r="D21" s="75">
        <f>10496564.5006475/12*7</f>
        <v>6122995.9587110411</v>
      </c>
      <c r="E21" s="6">
        <v>11336904.061747536</v>
      </c>
      <c r="F21" s="6">
        <v>11522500.641193254</v>
      </c>
      <c r="G21" s="6">
        <v>11776914.167763583</v>
      </c>
      <c r="H21" s="6">
        <v>12034088.306152927</v>
      </c>
      <c r="I21" s="8">
        <f>SUM(D21:H21)</f>
        <v>52793403.135568343</v>
      </c>
    </row>
    <row r="22" spans="1:10">
      <c r="A22" t="s">
        <v>4</v>
      </c>
      <c r="C22" s="6"/>
      <c r="D22" s="75">
        <f>-D9/12*7</f>
        <v>3136341.25</v>
      </c>
      <c r="E22" s="6">
        <f>-E9</f>
        <v>5916023</v>
      </c>
      <c r="F22" s="6">
        <f>-F9</f>
        <v>6178678</v>
      </c>
      <c r="G22" s="6">
        <f>-G9</f>
        <v>6292370</v>
      </c>
      <c r="H22" s="6">
        <f>-H9</f>
        <v>6641322</v>
      </c>
      <c r="I22" s="8">
        <f>SUM(D22:H22)</f>
        <v>28164734.25</v>
      </c>
    </row>
    <row r="23" spans="1:10">
      <c r="A23" t="s">
        <v>12</v>
      </c>
      <c r="C23" s="6"/>
      <c r="D23" s="75">
        <f>(D19-D24)*0.28/(1-0.28)</f>
        <v>-712318.77407881501</v>
      </c>
      <c r="E23" s="6">
        <f t="shared" ref="E23:H23" si="1">(E19-E24)*0.28/(1-0.28)</f>
        <v>2328271.5986021613</v>
      </c>
      <c r="F23" s="6">
        <f t="shared" si="1"/>
        <v>2481330.4907474415</v>
      </c>
      <c r="G23" s="6">
        <f t="shared" si="1"/>
        <v>2593245.5184859009</v>
      </c>
      <c r="H23" s="6">
        <f t="shared" si="1"/>
        <v>2728629.0960098072</v>
      </c>
      <c r="I23" s="8">
        <f>SUM(D23:H23)</f>
        <v>9419157.9297664966</v>
      </c>
      <c r="J23" s="11" t="s">
        <v>116</v>
      </c>
    </row>
    <row r="24" spans="1:10">
      <c r="A24" s="23" t="s">
        <v>44</v>
      </c>
      <c r="C24" s="6"/>
      <c r="D24" s="6">
        <f>D46+D47+D49</f>
        <v>11408528.983754708</v>
      </c>
      <c r="E24" s="6">
        <f>E46+E47+E49</f>
        <v>12043345.435150705</v>
      </c>
      <c r="F24" s="6">
        <f>F46+F47+F49</f>
        <v>12256352.763227392</v>
      </c>
      <c r="G24" s="6">
        <f>G46+G47+G49</f>
        <v>12369339.612980612</v>
      </c>
      <c r="H24" s="6">
        <f>H46+H47+H49</f>
        <v>12473544.909197528</v>
      </c>
      <c r="I24" s="8">
        <f>SUM(D24:H24)</f>
        <v>60551111.704310954</v>
      </c>
      <c r="J24" s="11"/>
    </row>
    <row r="25" spans="1:10">
      <c r="C25" s="6"/>
      <c r="D25" s="6"/>
      <c r="E25" s="6"/>
      <c r="F25" s="6"/>
      <c r="G25" s="6"/>
      <c r="H25" s="6"/>
    </row>
    <row r="26" spans="1:10">
      <c r="A26" s="5" t="s">
        <v>13</v>
      </c>
      <c r="B26" s="8"/>
      <c r="C26" s="8"/>
      <c r="D26" s="8">
        <f t="shared" ref="D26:I26" si="2">D19+D21+D22+D23-D24</f>
        <v>6715341.5870009866</v>
      </c>
      <c r="E26" s="8">
        <f t="shared" si="2"/>
        <v>25568182.771040969</v>
      </c>
      <c r="F26" s="8">
        <f t="shared" si="2"/>
        <v>26563073.251005549</v>
      </c>
      <c r="G26" s="8">
        <f t="shared" si="2"/>
        <v>27330875.305213235</v>
      </c>
      <c r="H26" s="8">
        <f t="shared" si="2"/>
        <v>28420514.220473666</v>
      </c>
      <c r="I26" s="8">
        <f t="shared" si="2"/>
        <v>114597987.13473439</v>
      </c>
    </row>
    <row r="27" spans="1:10">
      <c r="C27" s="6"/>
      <c r="D27" s="26"/>
      <c r="E27" s="26"/>
      <c r="F27" s="26"/>
      <c r="G27" s="26"/>
      <c r="H27" s="26"/>
      <c r="I27" s="26"/>
    </row>
    <row r="28" spans="1:10">
      <c r="A28" t="s">
        <v>18</v>
      </c>
      <c r="C28" s="6">
        <f>C53*C62</f>
        <v>18618675.575385191</v>
      </c>
      <c r="D28" s="75">
        <f>D53*D62/12*7</f>
        <v>10050743.225628028</v>
      </c>
      <c r="E28" s="6">
        <f t="shared" ref="E28:H29" si="3">E53*E62</f>
        <v>20680552.843098305</v>
      </c>
      <c r="F28" s="6">
        <f t="shared" si="3"/>
        <v>25107328.581927717</v>
      </c>
      <c r="G28" s="6">
        <f t="shared" si="3"/>
        <v>29041960.812323064</v>
      </c>
      <c r="H28" s="6">
        <f t="shared" si="3"/>
        <v>30096619.619222574</v>
      </c>
      <c r="I28" s="13">
        <f>SUM(D28:H28)</f>
        <v>114977205.08219969</v>
      </c>
    </row>
    <row r="29" spans="1:10">
      <c r="A29" t="s">
        <v>19</v>
      </c>
      <c r="C29" s="6">
        <f>C54*C63</f>
        <v>3623959.152940006</v>
      </c>
      <c r="D29" s="75">
        <f>D54*D63/12*7</f>
        <v>1786024.7680923925</v>
      </c>
      <c r="E29" s="6">
        <f t="shared" si="3"/>
        <v>3800891.3702639448</v>
      </c>
      <c r="F29" s="6">
        <f t="shared" si="3"/>
        <v>4486632.1501531927</v>
      </c>
      <c r="G29" s="6">
        <f t="shared" si="3"/>
        <v>5073788.9547585044</v>
      </c>
      <c r="H29" s="6">
        <f t="shared" si="3"/>
        <v>5226597.290372909</v>
      </c>
      <c r="I29" s="13">
        <f>SUM(D29:H29)</f>
        <v>20373934.533640943</v>
      </c>
    </row>
    <row r="30" spans="1:10">
      <c r="A30" t="s">
        <v>106</v>
      </c>
      <c r="C30" s="6"/>
      <c r="D30" s="75">
        <f>(D55-D56)*D64/12*7</f>
        <v>3078512.5</v>
      </c>
      <c r="E30" s="6">
        <f>(E55-E56)*E64</f>
        <v>5516616.1499999994</v>
      </c>
      <c r="F30" s="6">
        <f t="shared" ref="F30:H30" si="4">(F55-F56)*F64</f>
        <v>5742964.7668124987</v>
      </c>
      <c r="G30" s="6">
        <f t="shared" si="4"/>
        <v>5862272.4304006482</v>
      </c>
      <c r="H30" s="6">
        <f t="shared" si="4"/>
        <v>6042919.3451606845</v>
      </c>
      <c r="I30" s="13">
        <f>SUM(D30:H30)</f>
        <v>26243285.192373831</v>
      </c>
    </row>
    <row r="31" spans="1:10">
      <c r="A31" t="s">
        <v>107</v>
      </c>
      <c r="C31" s="6"/>
      <c r="D31" s="75">
        <f>D56*D64/2/12*7</f>
        <v>135756.25</v>
      </c>
      <c r="E31" s="6">
        <f>E56*E64/2</f>
        <v>237612.22499999998</v>
      </c>
      <c r="F31" s="6">
        <f t="shared" ref="F31:H31" si="5">F56*F64/2</f>
        <v>245156.41314374993</v>
      </c>
      <c r="G31" s="6">
        <f t="shared" si="5"/>
        <v>248332.37378780529</v>
      </c>
      <c r="H31" s="6">
        <f t="shared" si="5"/>
        <v>252895.35144220333</v>
      </c>
      <c r="I31" s="13">
        <f t="shared" ref="I31:I32" si="6">SUM(D31:H31)</f>
        <v>1119752.6133737585</v>
      </c>
    </row>
    <row r="32" spans="1:10">
      <c r="A32" t="s">
        <v>14</v>
      </c>
      <c r="C32" s="6"/>
      <c r="D32" s="75">
        <f>87000/12*7</f>
        <v>50750</v>
      </c>
      <c r="E32" s="6">
        <v>88827</v>
      </c>
      <c r="F32" s="6">
        <v>90692</v>
      </c>
      <c r="G32" s="6">
        <v>92597</v>
      </c>
      <c r="H32" s="6">
        <v>94541</v>
      </c>
      <c r="I32" s="13">
        <f t="shared" si="6"/>
        <v>417407</v>
      </c>
    </row>
    <row r="33" spans="1:10">
      <c r="A33" s="5" t="s">
        <v>15</v>
      </c>
      <c r="B33" s="5"/>
      <c r="C33" s="8">
        <f t="shared" ref="C33:H33" si="7">SUM(C28:C32)</f>
        <v>22242634.728325196</v>
      </c>
      <c r="D33" s="74">
        <f t="shared" si="7"/>
        <v>15101786.74372042</v>
      </c>
      <c r="E33" s="8">
        <f t="shared" si="7"/>
        <v>30324499.58836225</v>
      </c>
      <c r="F33" s="8">
        <f t="shared" si="7"/>
        <v>35672773.912037157</v>
      </c>
      <c r="G33" s="8">
        <f t="shared" si="7"/>
        <v>40318951.571270019</v>
      </c>
      <c r="H33" s="8">
        <f t="shared" si="7"/>
        <v>41713572.60619837</v>
      </c>
      <c r="I33" s="8">
        <f>SUM(D33:H33)</f>
        <v>163131584.42158821</v>
      </c>
    </row>
    <row r="34" spans="1:10">
      <c r="A34" s="5"/>
      <c r="B34" s="5"/>
      <c r="C34" s="8"/>
      <c r="D34" s="30"/>
      <c r="E34" s="30"/>
      <c r="F34" s="30"/>
      <c r="G34" s="30"/>
      <c r="H34" s="30"/>
      <c r="I34" s="6"/>
    </row>
    <row r="35" spans="1:10">
      <c r="A35" s="5" t="s">
        <v>50</v>
      </c>
      <c r="B35" s="8"/>
      <c r="C35" s="8"/>
      <c r="D35" s="8">
        <f>D33-D26</f>
        <v>8386445.1567194331</v>
      </c>
      <c r="E35" s="8">
        <f>E33-E26</f>
        <v>4756316.8173212819</v>
      </c>
      <c r="F35" s="8">
        <f>F33-F26</f>
        <v>9109700.6610316075</v>
      </c>
      <c r="G35" s="8">
        <f>G33-G26</f>
        <v>12988076.266056783</v>
      </c>
      <c r="H35" s="8">
        <f>H33-H26</f>
        <v>13293058.385724705</v>
      </c>
      <c r="J35" s="14"/>
    </row>
    <row r="36" spans="1:10">
      <c r="A36" s="5"/>
      <c r="B36" s="8"/>
      <c r="C36" s="8"/>
      <c r="D36" s="8"/>
      <c r="E36" s="8"/>
      <c r="F36" s="8"/>
      <c r="G36" s="8"/>
      <c r="H36" s="8"/>
      <c r="J36" s="14"/>
    </row>
    <row r="37" spans="1:10">
      <c r="A37" s="5" t="s">
        <v>16</v>
      </c>
      <c r="C37" s="6"/>
      <c r="D37" s="6">
        <f>D35*(1-0.28)</f>
        <v>6038240.512837992</v>
      </c>
      <c r="E37" s="6">
        <f>E35*(1-0.28)</f>
        <v>3424548.1084713228</v>
      </c>
      <c r="F37" s="6">
        <f>F35*(1-0.28)</f>
        <v>6558984.475942757</v>
      </c>
      <c r="G37" s="6">
        <f>G35*(1-0.28)</f>
        <v>9351414.9115608837</v>
      </c>
      <c r="H37" s="6">
        <f>H35*(1-0.28)</f>
        <v>9571002.0377217866</v>
      </c>
    </row>
    <row r="38" spans="1:10">
      <c r="A38" s="5"/>
      <c r="C38" s="6"/>
      <c r="D38" s="6"/>
      <c r="E38" s="6"/>
      <c r="F38" s="6"/>
      <c r="G38" s="6"/>
      <c r="H38" s="6"/>
    </row>
    <row r="39" spans="1:10">
      <c r="A39" s="23" t="s">
        <v>103</v>
      </c>
      <c r="C39" s="6"/>
      <c r="D39" s="79">
        <f>8.5/12</f>
        <v>0.70833333333333337</v>
      </c>
      <c r="E39" s="43">
        <v>1.5</v>
      </c>
      <c r="F39" s="43">
        <v>2.5</v>
      </c>
      <c r="G39" s="43">
        <v>3.5</v>
      </c>
      <c r="H39" s="43">
        <v>4.5</v>
      </c>
    </row>
    <row r="40" spans="1:10" s="5" customFormat="1">
      <c r="A40" s="5" t="s">
        <v>17</v>
      </c>
      <c r="B40" s="45">
        <f>B18</f>
        <v>8.0699999999999994E-2</v>
      </c>
      <c r="C40" s="8"/>
      <c r="D40" s="8">
        <f>D37/(1+$B$40)^D39</f>
        <v>5715259.1206443738</v>
      </c>
      <c r="E40" s="8">
        <f>E37/(1+$B$40)^E39</f>
        <v>3048214.6387623716</v>
      </c>
      <c r="F40" s="8">
        <f t="shared" ref="F40:H40" si="8">F37/(1+$B$40)^F39</f>
        <v>5402238.1350673288</v>
      </c>
      <c r="G40" s="8">
        <f t="shared" si="8"/>
        <v>7127041.6440895516</v>
      </c>
      <c r="H40" s="8">
        <f t="shared" si="8"/>
        <v>6749696.2181161549</v>
      </c>
      <c r="I40" s="15">
        <f>SUM(D40:H40)</f>
        <v>28042449.756679781</v>
      </c>
      <c r="J40" s="27"/>
    </row>
    <row r="41" spans="1:10">
      <c r="A41" s="12"/>
      <c r="B41" s="10"/>
      <c r="C41" s="6"/>
      <c r="D41" s="44"/>
      <c r="E41" s="6"/>
      <c r="F41" s="6"/>
      <c r="G41" s="6"/>
      <c r="H41" s="6"/>
      <c r="J41" s="9"/>
    </row>
    <row r="43" spans="1:10">
      <c r="D43" s="10"/>
      <c r="E43" s="10"/>
      <c r="F43" s="10"/>
      <c r="G43" s="10"/>
      <c r="H43" s="10"/>
    </row>
    <row r="44" spans="1:10">
      <c r="A44" t="s">
        <v>33</v>
      </c>
      <c r="C44" s="10"/>
      <c r="D44" s="17">
        <v>2.1000000000000001E-2</v>
      </c>
      <c r="E44" s="17">
        <f>D44</f>
        <v>2.1000000000000001E-2</v>
      </c>
      <c r="F44" s="17">
        <f>E44</f>
        <v>2.1000000000000001E-2</v>
      </c>
      <c r="G44" s="17">
        <f>F44</f>
        <v>2.1000000000000001E-2</v>
      </c>
      <c r="H44" s="17">
        <f>G44</f>
        <v>2.1000000000000001E-2</v>
      </c>
    </row>
    <row r="45" spans="1:10">
      <c r="C45" s="10"/>
      <c r="D45" s="48"/>
      <c r="E45" s="48"/>
      <c r="F45" s="48"/>
      <c r="G45" s="48"/>
      <c r="H45" s="48"/>
    </row>
    <row r="46" spans="1:10">
      <c r="A46" t="s">
        <v>34</v>
      </c>
      <c r="C46" s="10"/>
      <c r="D46" s="34">
        <f>C6*D44</f>
        <v>1656820.8720000002</v>
      </c>
      <c r="E46" s="34">
        <f>D6*E44</f>
        <v>1693758.210312</v>
      </c>
      <c r="F46" s="34">
        <f>E6*F44</f>
        <v>1729327.1327285517</v>
      </c>
      <c r="G46" s="34">
        <f>F6*G44</f>
        <v>1765643.0025158513</v>
      </c>
      <c r="H46" s="34">
        <f>G6*H44</f>
        <v>1802721.5055686843</v>
      </c>
      <c r="I46" s="21">
        <f>SUM(D46:H46)</f>
        <v>8648270.7231250871</v>
      </c>
    </row>
    <row r="47" spans="1:10" ht="25.5" customHeight="1">
      <c r="A47" t="s">
        <v>35</v>
      </c>
      <c r="C47" s="10"/>
      <c r="D47" s="34">
        <f>D8*(0.955*D44)</f>
        <v>2195585.4614400002</v>
      </c>
      <c r="E47" s="34">
        <f>E8*(0.965*E44)</f>
        <v>2793464.5745239975</v>
      </c>
      <c r="F47" s="34">
        <f>F8*(0.969*F44)</f>
        <v>2970902.9801841332</v>
      </c>
      <c r="G47" s="34">
        <f>G8*(0.971*G44)</f>
        <v>3047573.9601500519</v>
      </c>
      <c r="H47" s="34">
        <f>H8*(0.973*H44)</f>
        <v>3114700.7533141356</v>
      </c>
      <c r="I47" s="21">
        <f>SUM(D47:H47)</f>
        <v>14122227.729612319</v>
      </c>
      <c r="J47" s="2" t="s">
        <v>109</v>
      </c>
    </row>
    <row r="48" spans="1:10">
      <c r="C48" s="10"/>
      <c r="D48" s="56"/>
      <c r="E48" s="56"/>
      <c r="F48" s="56"/>
      <c r="G48" s="56"/>
      <c r="H48" s="56"/>
      <c r="I48" s="57"/>
    </row>
    <row r="49" spans="1:10">
      <c r="A49" t="s">
        <v>36</v>
      </c>
      <c r="B49" s="38">
        <v>30113828</v>
      </c>
      <c r="C49" s="10">
        <f>B40</f>
        <v>8.0699999999999994E-2</v>
      </c>
      <c r="D49" s="34">
        <f>-PMT($C$49,5,$B$49,0)</f>
        <v>7556122.6503147073</v>
      </c>
      <c r="E49" s="34">
        <f>-PMT($C$49,5,$B$49,0)</f>
        <v>7556122.6503147073</v>
      </c>
      <c r="F49" s="34">
        <f>-PMT($C$49,5,$B$49,0)</f>
        <v>7556122.6503147073</v>
      </c>
      <c r="G49" s="34">
        <f>-PMT($C$49,5,$B$49,0)</f>
        <v>7556122.6503147073</v>
      </c>
      <c r="H49" s="34">
        <f>-PMT($C$49,5,$B$49,0)</f>
        <v>7556122.6503147073</v>
      </c>
      <c r="I49" s="21">
        <f>SUM(D49:H49)</f>
        <v>37780613.251573533</v>
      </c>
      <c r="J49" s="2" t="s">
        <v>118</v>
      </c>
    </row>
    <row r="50" spans="1:10">
      <c r="B50" s="38"/>
      <c r="C50" s="10"/>
      <c r="D50" s="34"/>
      <c r="E50" s="34"/>
      <c r="F50" s="34"/>
      <c r="G50" s="34"/>
      <c r="H50" s="34"/>
    </row>
    <row r="51" spans="1:10">
      <c r="A51" t="s">
        <v>52</v>
      </c>
      <c r="B51" s="34"/>
      <c r="C51" s="10"/>
      <c r="D51" s="34">
        <f>SUM(D46:D49)</f>
        <v>11408528.983754708</v>
      </c>
      <c r="E51" s="34">
        <f>SUM(E46:E49)</f>
        <v>12043345.435150705</v>
      </c>
      <c r="F51" s="34">
        <f>SUM(F46:F49)</f>
        <v>12256352.763227392</v>
      </c>
      <c r="G51" s="34">
        <f>SUM(G46:G49)</f>
        <v>12369339.612980612</v>
      </c>
      <c r="H51" s="34">
        <f>SUM(H46:H49)</f>
        <v>12473544.909197528</v>
      </c>
      <c r="I51" s="21">
        <f>SUM(D51:H51)</f>
        <v>60551111.704310954</v>
      </c>
    </row>
    <row r="52" spans="1:10">
      <c r="B52" s="38"/>
      <c r="C52" s="10"/>
      <c r="D52" s="38"/>
      <c r="E52" s="38"/>
      <c r="F52" s="38"/>
      <c r="G52" s="38"/>
      <c r="H52" s="38"/>
      <c r="I52" s="21"/>
    </row>
    <row r="53" spans="1:10">
      <c r="A53" t="s">
        <v>24</v>
      </c>
      <c r="C53" s="6">
        <v>1431104.9635192307</v>
      </c>
      <c r="D53" s="21">
        <f t="shared" ref="D53:H55" si="9">C53*(1+D58)</f>
        <v>1402917.3720384617</v>
      </c>
      <c r="E53" s="21">
        <f t="shared" si="9"/>
        <v>1437990.3063394232</v>
      </c>
      <c r="F53" s="21">
        <f t="shared" si="9"/>
        <v>1488319.9670613029</v>
      </c>
      <c r="G53" s="21">
        <f t="shared" si="9"/>
        <v>1525527.9662378354</v>
      </c>
      <c r="H53" s="21">
        <f t="shared" si="9"/>
        <v>1548410.8857314028</v>
      </c>
      <c r="I53" s="20">
        <f>(H53-C53)/C53</f>
        <v>8.1968776017452297E-2</v>
      </c>
      <c r="J53" s="2" t="s">
        <v>26</v>
      </c>
    </row>
    <row r="54" spans="1:10">
      <c r="A54" t="s">
        <v>25</v>
      </c>
      <c r="C54" s="6">
        <v>389254.47400000063</v>
      </c>
      <c r="D54" s="21">
        <f t="shared" si="9"/>
        <v>410571.20400000061</v>
      </c>
      <c r="E54" s="21">
        <f t="shared" si="9"/>
        <v>436002.26900000061</v>
      </c>
      <c r="F54" s="21">
        <f t="shared" si="9"/>
        <v>436525.83400000067</v>
      </c>
      <c r="G54" s="21">
        <f t="shared" si="9"/>
        <v>439388.62400000071</v>
      </c>
      <c r="H54" s="21">
        <f t="shared" si="9"/>
        <v>443312.22400000069</v>
      </c>
      <c r="I54" s="20">
        <f t="shared" ref="I54:I56" si="10">(H54-C54)/C54</f>
        <v>0.13887508971830076</v>
      </c>
      <c r="J54" s="2" t="s">
        <v>26</v>
      </c>
    </row>
    <row r="55" spans="1:10">
      <c r="A55" t="s">
        <v>123</v>
      </c>
      <c r="C55" s="6">
        <v>37447</v>
      </c>
      <c r="D55" s="21">
        <f t="shared" si="9"/>
        <v>38286</v>
      </c>
      <c r="E55" s="21">
        <f t="shared" si="9"/>
        <v>39124</v>
      </c>
      <c r="F55" s="21">
        <f t="shared" si="9"/>
        <v>39448</v>
      </c>
      <c r="G55" s="21">
        <f t="shared" si="9"/>
        <v>39830.999999999993</v>
      </c>
      <c r="H55" s="21">
        <f t="shared" si="9"/>
        <v>40175.999999999993</v>
      </c>
      <c r="I55" s="20">
        <f t="shared" si="10"/>
        <v>7.2876331882393591E-2</v>
      </c>
    </row>
    <row r="56" spans="1:10">
      <c r="A56" t="s">
        <v>124</v>
      </c>
      <c r="C56" s="6">
        <v>3033</v>
      </c>
      <c r="D56" s="21">
        <v>3103</v>
      </c>
      <c r="E56" s="21">
        <v>3103</v>
      </c>
      <c r="F56" s="21">
        <v>3103</v>
      </c>
      <c r="G56" s="21">
        <v>3111</v>
      </c>
      <c r="H56" s="21">
        <v>3103</v>
      </c>
      <c r="I56" s="20">
        <f t="shared" si="10"/>
        <v>2.3079459281239698E-2</v>
      </c>
    </row>
    <row r="57" spans="1:10">
      <c r="C57" s="34"/>
      <c r="D57" s="21"/>
      <c r="E57" s="21"/>
      <c r="F57" s="21"/>
      <c r="G57" s="21"/>
      <c r="H57" s="21"/>
    </row>
    <row r="58" spans="1:10">
      <c r="A58" t="s">
        <v>20</v>
      </c>
      <c r="C58" s="10"/>
      <c r="D58" s="59">
        <v>-1.9696383004257682E-2</v>
      </c>
      <c r="E58" s="59">
        <v>2.5000000000000001E-2</v>
      </c>
      <c r="F58" s="59">
        <v>3.5000000000000003E-2</v>
      </c>
      <c r="G58" s="59">
        <v>2.5000000000000001E-2</v>
      </c>
      <c r="H58" s="59">
        <v>1.4999999999999999E-2</v>
      </c>
      <c r="J58" s="2" t="s">
        <v>119</v>
      </c>
    </row>
    <row r="59" spans="1:10">
      <c r="A59" t="s">
        <v>21</v>
      </c>
      <c r="C59" s="10"/>
      <c r="D59" s="59">
        <v>5.4762967220255886E-2</v>
      </c>
      <c r="E59" s="59">
        <v>6.194069323965537E-2</v>
      </c>
      <c r="F59" s="59">
        <v>1.2008309066850328E-3</v>
      </c>
      <c r="G59" s="59">
        <v>6.5581227433151945E-3</v>
      </c>
      <c r="H59" s="59">
        <v>8.9296804370610442E-3</v>
      </c>
      <c r="I59" s="10"/>
      <c r="J59" s="2" t="s">
        <v>26</v>
      </c>
    </row>
    <row r="60" spans="1:10">
      <c r="A60" t="s">
        <v>32</v>
      </c>
      <c r="C60" s="10"/>
      <c r="D60" s="59">
        <v>2.2404999065345689E-2</v>
      </c>
      <c r="E60" s="59">
        <v>2.1887896358982396E-2</v>
      </c>
      <c r="F60" s="59">
        <v>8.2813618239443824E-3</v>
      </c>
      <c r="G60" s="59">
        <v>9.7089839789089426E-3</v>
      </c>
      <c r="H60" s="59">
        <v>8.6615952398885285E-3</v>
      </c>
    </row>
    <row r="61" spans="1:10">
      <c r="C61" s="10"/>
      <c r="D61" s="35"/>
      <c r="E61" s="35"/>
      <c r="F61" s="35"/>
      <c r="G61" s="35"/>
      <c r="H61" s="35"/>
    </row>
    <row r="62" spans="1:10">
      <c r="A62" t="s">
        <v>27</v>
      </c>
      <c r="C62" s="36">
        <v>13.01</v>
      </c>
      <c r="D62" s="36">
        <f t="shared" ref="D62:H64" si="11">C62*(1+D66)</f>
        <v>12.28144</v>
      </c>
      <c r="E62" s="36">
        <f t="shared" si="11"/>
        <v>14.38156624</v>
      </c>
      <c r="F62" s="36">
        <f t="shared" si="11"/>
        <v>16.869577199520002</v>
      </c>
      <c r="G62" s="36">
        <f t="shared" si="11"/>
        <v>19.037317869658324</v>
      </c>
      <c r="H62" s="36">
        <f t="shared" si="11"/>
        <v>19.437101544921148</v>
      </c>
    </row>
    <row r="63" spans="1:10">
      <c r="A63" t="s">
        <v>28</v>
      </c>
      <c r="C63" s="36">
        <v>9.31</v>
      </c>
      <c r="D63" s="36">
        <f t="shared" si="11"/>
        <v>7.4573099999999997</v>
      </c>
      <c r="E63" s="36">
        <f t="shared" si="11"/>
        <v>8.7175953899999996</v>
      </c>
      <c r="F63" s="36">
        <f t="shared" si="11"/>
        <v>10.27804496481</v>
      </c>
      <c r="G63" s="36">
        <f t="shared" si="11"/>
        <v>11.547383517964034</v>
      </c>
      <c r="H63" s="36">
        <f t="shared" si="11"/>
        <v>11.789878571841278</v>
      </c>
    </row>
    <row r="64" spans="1:10">
      <c r="A64" t="s">
        <v>30</v>
      </c>
      <c r="C64" s="36"/>
      <c r="D64" s="36">
        <v>150</v>
      </c>
      <c r="E64" s="36">
        <f>D64*(1+E68)</f>
        <v>153.14999999999998</v>
      </c>
      <c r="F64" s="36">
        <f t="shared" si="11"/>
        <v>158.01251249999996</v>
      </c>
      <c r="G64" s="36">
        <f t="shared" si="11"/>
        <v>159.64794200437498</v>
      </c>
      <c r="H64" s="36">
        <f t="shared" si="11"/>
        <v>163.00054878646685</v>
      </c>
    </row>
    <row r="65" spans="1:10">
      <c r="C65" s="36"/>
      <c r="D65" s="36"/>
      <c r="E65" s="36"/>
      <c r="F65" s="36"/>
      <c r="G65" s="36"/>
      <c r="H65" s="36"/>
    </row>
    <row r="66" spans="1:10">
      <c r="A66" t="s">
        <v>22</v>
      </c>
      <c r="C66" s="10"/>
      <c r="D66" s="18">
        <v>-5.6000000000000001E-2</v>
      </c>
      <c r="E66" s="18">
        <v>0.17100000000000001</v>
      </c>
      <c r="F66" s="18">
        <v>0.17299999999999999</v>
      </c>
      <c r="G66" s="18">
        <v>0.1285</v>
      </c>
      <c r="H66" s="18">
        <v>2.1000000000000001E-2</v>
      </c>
      <c r="J66" s="2" t="s">
        <v>26</v>
      </c>
    </row>
    <row r="67" spans="1:10">
      <c r="A67" t="s">
        <v>23</v>
      </c>
      <c r="D67" s="18">
        <v>-0.19900000000000001</v>
      </c>
      <c r="E67" s="18">
        <v>0.16900000000000001</v>
      </c>
      <c r="F67" s="18">
        <v>0.17899999999999999</v>
      </c>
      <c r="G67" s="18">
        <v>0.1235</v>
      </c>
      <c r="H67" s="18">
        <v>2.1000000000000001E-2</v>
      </c>
      <c r="J67" s="2" t="s">
        <v>26</v>
      </c>
    </row>
    <row r="68" spans="1:10">
      <c r="A68" s="23" t="s">
        <v>29</v>
      </c>
      <c r="E68" s="37">
        <v>2.1000000000000001E-2</v>
      </c>
      <c r="F68" s="37">
        <v>3.175E-2</v>
      </c>
      <c r="G68" s="37">
        <v>1.035E-2</v>
      </c>
      <c r="H68" s="37">
        <v>2.1000000000000001E-2</v>
      </c>
      <c r="J68" s="2" t="s">
        <v>26</v>
      </c>
    </row>
    <row r="69" spans="1:10">
      <c r="D69" s="10"/>
      <c r="E69" s="10"/>
      <c r="F69" s="10"/>
      <c r="G69" s="10"/>
      <c r="H69" s="10"/>
    </row>
    <row r="71" spans="1:10">
      <c r="D71" s="6"/>
      <c r="E71" s="6"/>
      <c r="F71" s="6"/>
      <c r="G71" s="6"/>
      <c r="H71" s="6"/>
    </row>
    <row r="72" spans="1:10">
      <c r="D72" s="6"/>
    </row>
    <row r="73" spans="1:10">
      <c r="A73" s="5" t="s">
        <v>97</v>
      </c>
      <c r="D73" s="21"/>
      <c r="E73" s="21"/>
      <c r="F73" s="21"/>
      <c r="G73" s="21"/>
      <c r="H73" s="21"/>
      <c r="I73" s="21"/>
    </row>
    <row r="74" spans="1:10">
      <c r="A74" t="s">
        <v>38</v>
      </c>
      <c r="D74" s="58">
        <v>6122995.958711057</v>
      </c>
      <c r="E74" s="58">
        <v>11336904.061747536</v>
      </c>
      <c r="F74" s="58">
        <v>11522500.641193254</v>
      </c>
      <c r="G74" s="58">
        <v>11776914.167763583</v>
      </c>
      <c r="H74" s="58">
        <v>12034088.306152927</v>
      </c>
    </row>
    <row r="75" spans="1:10">
      <c r="A75" t="s">
        <v>39</v>
      </c>
      <c r="D75" s="58">
        <v>3136341.1284170309</v>
      </c>
      <c r="E75" s="58">
        <v>5916023.2371689109</v>
      </c>
      <c r="F75" s="58">
        <v>6178678.2580978964</v>
      </c>
      <c r="G75" s="58">
        <v>6292369.6433145013</v>
      </c>
      <c r="H75" s="58">
        <v>6641322.2084832266</v>
      </c>
      <c r="I75" s="26">
        <f>SUM(D75:H75)</f>
        <v>28164734.475481566</v>
      </c>
    </row>
    <row r="76" spans="1:10">
      <c r="A76" t="s">
        <v>40</v>
      </c>
      <c r="C76" s="6"/>
      <c r="D76" s="58">
        <v>16085165.650684176</v>
      </c>
      <c r="E76" s="58">
        <v>30283579.99953942</v>
      </c>
      <c r="F76" s="58">
        <v>31302415.723378748</v>
      </c>
      <c r="G76" s="58">
        <v>31975508.782503664</v>
      </c>
      <c r="H76" s="58">
        <v>32735199.347592589</v>
      </c>
    </row>
    <row r="77" spans="1:10">
      <c r="A77" t="s">
        <v>41</v>
      </c>
      <c r="C77" s="6"/>
      <c r="D77" s="58">
        <v>-2247381.9467803347</v>
      </c>
      <c r="E77" s="58">
        <v>-4487815.844126204</v>
      </c>
      <c r="F77" s="58">
        <v>-4699926.0335926283</v>
      </c>
      <c r="G77" s="58">
        <v>-4813045.3744922439</v>
      </c>
      <c r="H77" s="58">
        <v>-4916936.3474122193</v>
      </c>
      <c r="I77" s="26">
        <f>SUM(D77:H77)</f>
        <v>-21165105.546403632</v>
      </c>
    </row>
    <row r="78" spans="1:10">
      <c r="A78" t="s">
        <v>42</v>
      </c>
      <c r="D78" s="58">
        <v>-8677883.0482765622</v>
      </c>
      <c r="E78" s="58">
        <v>-8677883.0482765622</v>
      </c>
      <c r="F78" s="58">
        <v>-8677883.0482765622</v>
      </c>
      <c r="G78" s="58">
        <v>-8677883.0482765622</v>
      </c>
      <c r="H78" s="58">
        <v>-8677883.0482765622</v>
      </c>
    </row>
    <row r="79" spans="1:10">
      <c r="A79" t="s">
        <v>110</v>
      </c>
      <c r="D79" s="58">
        <v>-50750</v>
      </c>
      <c r="E79" s="58">
        <v>-88826.999999999985</v>
      </c>
      <c r="F79" s="58">
        <v>-90692.366999999984</v>
      </c>
      <c r="G79" s="58">
        <v>-92596.906706999973</v>
      </c>
      <c r="H79" s="58">
        <v>-94541.44174784697</v>
      </c>
      <c r="I79" s="26">
        <f>SUM(D79:H79)</f>
        <v>-417407.71545484691</v>
      </c>
    </row>
    <row r="80" spans="1:10">
      <c r="A80" t="s">
        <v>43</v>
      </c>
      <c r="D80" s="61">
        <v>14368487.742755368</v>
      </c>
      <c r="E80" s="61">
        <v>34281981.406053096</v>
      </c>
      <c r="F80" s="61">
        <v>35535093.173800707</v>
      </c>
      <c r="G80" s="61">
        <v>36461267.264105953</v>
      </c>
      <c r="H80" s="61">
        <v>37721249.024792105</v>
      </c>
      <c r="I80" s="26">
        <f>SUM(D80:H80)</f>
        <v>158368078.61150724</v>
      </c>
    </row>
    <row r="81" spans="1:8">
      <c r="C81" s="6"/>
      <c r="D81" s="6"/>
      <c r="E81" s="6"/>
      <c r="F81" s="6"/>
      <c r="G81" s="6"/>
      <c r="H81" s="6"/>
    </row>
    <row r="82" spans="1:8">
      <c r="D82" s="40"/>
      <c r="E82" s="40"/>
      <c r="F82" s="40"/>
      <c r="G82" s="40"/>
      <c r="H82" s="40"/>
    </row>
    <row r="83" spans="1:8">
      <c r="D83" s="26"/>
      <c r="E83" s="26"/>
      <c r="F83" s="26"/>
      <c r="G83" s="26"/>
      <c r="H83" s="26"/>
    </row>
    <row r="85" spans="1:8">
      <c r="D85" s="26"/>
      <c r="E85" s="26"/>
      <c r="F85" s="26"/>
      <c r="G85" s="26"/>
      <c r="H85" s="26"/>
    </row>
    <row r="88" spans="1:8">
      <c r="A88" s="5"/>
    </row>
    <row r="101" spans="1:8">
      <c r="A101" s="5"/>
    </row>
    <row r="102" spans="1:8">
      <c r="D102" s="10"/>
      <c r="E102" s="10"/>
      <c r="F102" s="10"/>
      <c r="G102" s="10"/>
      <c r="H102" s="10"/>
    </row>
    <row r="103" spans="1:8">
      <c r="D103" s="6"/>
      <c r="E103" s="6"/>
      <c r="F103" s="6"/>
      <c r="G103" s="6"/>
      <c r="H103" s="6"/>
    </row>
    <row r="104" spans="1:8">
      <c r="D104" s="6"/>
      <c r="E104" s="6"/>
      <c r="F104" s="6"/>
      <c r="G104" s="6"/>
      <c r="H104" s="6"/>
    </row>
    <row r="106" spans="1:8">
      <c r="D106" s="6"/>
      <c r="E106" s="6"/>
      <c r="F106" s="6"/>
      <c r="G106" s="6"/>
      <c r="H106" s="6"/>
    </row>
    <row r="108" spans="1:8">
      <c r="D108" s="6"/>
      <c r="E108" s="6"/>
      <c r="F108" s="6"/>
      <c r="G108" s="6"/>
      <c r="H108" s="6"/>
    </row>
    <row r="109" spans="1:8">
      <c r="D109" s="6"/>
    </row>
    <row r="110" spans="1:8">
      <c r="D110" s="6"/>
    </row>
    <row r="111" spans="1:8">
      <c r="D111" s="6"/>
    </row>
  </sheetData>
  <printOptions gridLines="1"/>
  <pageMargins left="0.74803149606299213" right="0.74803149606299213" top="0.98425196850393704" bottom="0.98425196850393704" header="0.51181102362204722" footer="0.51181102362204722"/>
  <pageSetup paperSize="9" scale="45" orientation="landscape" verticalDpi="0" r:id="rId1"/>
  <headerFooter alignWithMargins="0">
    <oddFooter>&amp;LBARNZ ALTERNATIVE REVENUE MODELLING&amp;C &amp;RSEPTMBER 2012</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9"/>
  <sheetViews>
    <sheetView zoomScaleNormal="100" workbookViewId="0">
      <pane ySplit="4" topLeftCell="A17" activePane="bottomLeft" state="frozenSplit"/>
      <selection pane="bottomLeft" activeCell="C44" sqref="C44"/>
    </sheetView>
  </sheetViews>
  <sheetFormatPr defaultRowHeight="12.75"/>
  <cols>
    <col min="1" max="1" width="40.42578125" customWidth="1"/>
    <col min="2" max="9" width="13.7109375" customWidth="1"/>
    <col min="10" max="10" width="115.7109375" style="2" customWidth="1"/>
  </cols>
  <sheetData>
    <row r="1" spans="1:10" ht="18">
      <c r="A1" s="1" t="s">
        <v>48</v>
      </c>
    </row>
    <row r="3" spans="1:10" ht="18">
      <c r="A3" s="1" t="s">
        <v>53</v>
      </c>
      <c r="B3" s="3"/>
      <c r="C3" s="3"/>
      <c r="D3" s="73" t="s">
        <v>108</v>
      </c>
    </row>
    <row r="4" spans="1:10">
      <c r="B4" s="4" t="s">
        <v>102</v>
      </c>
      <c r="C4" s="4">
        <v>2012</v>
      </c>
      <c r="D4" s="4">
        <v>2013</v>
      </c>
      <c r="E4" s="4">
        <v>2014</v>
      </c>
      <c r="F4" s="4">
        <v>2015</v>
      </c>
      <c r="G4" s="4">
        <v>2016</v>
      </c>
      <c r="H4" s="4">
        <v>2017</v>
      </c>
      <c r="I4" s="4" t="s">
        <v>1</v>
      </c>
      <c r="J4" s="27" t="s">
        <v>46</v>
      </c>
    </row>
    <row r="5" spans="1:10">
      <c r="A5" s="5" t="s">
        <v>2</v>
      </c>
    </row>
    <row r="6" spans="1:10">
      <c r="A6" t="s">
        <v>121</v>
      </c>
      <c r="C6" s="6">
        <v>291277.10326118825</v>
      </c>
      <c r="D6" s="6">
        <f>C6+D45</f>
        <v>297393.9224296732</v>
      </c>
      <c r="E6" s="6">
        <f>D6+E45</f>
        <v>303639.19480069634</v>
      </c>
      <c r="F6" s="6">
        <f>E6+F45</f>
        <v>310015.61789151095</v>
      </c>
      <c r="G6" s="6">
        <f>F6+G45</f>
        <v>316525.94586723269</v>
      </c>
      <c r="H6" s="6">
        <f>G6+H45</f>
        <v>323172.99073044455</v>
      </c>
    </row>
    <row r="7" spans="1:10">
      <c r="C7" s="6"/>
      <c r="D7" s="6"/>
      <c r="E7" s="6"/>
      <c r="F7" s="6"/>
      <c r="G7" s="6"/>
      <c r="H7" s="6"/>
    </row>
    <row r="8" spans="1:10">
      <c r="A8" t="s">
        <v>3</v>
      </c>
      <c r="C8" s="6"/>
      <c r="D8" s="6">
        <f>C13</f>
        <v>117474256.89673881</v>
      </c>
      <c r="E8" s="6">
        <f>D13</f>
        <v>116743754.51729615</v>
      </c>
      <c r="F8" s="6">
        <f>E13</f>
        <v>119292357.28657329</v>
      </c>
      <c r="G8" s="6">
        <f>F13</f>
        <v>117156476.88409434</v>
      </c>
      <c r="H8" s="6">
        <f>G13</f>
        <v>119764589.81486285</v>
      </c>
    </row>
    <row r="9" spans="1:10">
      <c r="A9" t="s">
        <v>4</v>
      </c>
      <c r="C9" s="20"/>
      <c r="D9" s="6">
        <v>-4636519.5130014699</v>
      </c>
      <c r="E9" s="6">
        <v>-4962199.1058351398</v>
      </c>
      <c r="F9" s="6">
        <v>-5016300.5246377503</v>
      </c>
      <c r="G9" s="6">
        <v>-5183893.49797069</v>
      </c>
      <c r="H9" s="6">
        <v>-5230713.8192085596</v>
      </c>
    </row>
    <row r="10" spans="1:10">
      <c r="A10" t="s">
        <v>54</v>
      </c>
      <c r="B10" s="58"/>
      <c r="C10" s="24"/>
      <c r="D10" s="25"/>
      <c r="E10" s="25"/>
      <c r="F10" s="25"/>
      <c r="G10" s="25"/>
      <c r="H10" s="25"/>
    </row>
    <row r="11" spans="1:10">
      <c r="A11" t="s">
        <v>5</v>
      </c>
      <c r="C11" s="32"/>
      <c r="D11" s="6">
        <v>1455586.3666726593</v>
      </c>
      <c r="E11" s="6">
        <v>5082963.7330442397</v>
      </c>
      <c r="F11" s="6">
        <v>399830.98627033975</v>
      </c>
      <c r="G11" s="6">
        <v>5356815.3315217812</v>
      </c>
      <c r="H11" s="6">
        <v>498641.26957815961</v>
      </c>
      <c r="J11" s="24"/>
    </row>
    <row r="12" spans="1:10">
      <c r="A12" t="s">
        <v>37</v>
      </c>
      <c r="C12" s="7"/>
      <c r="D12" s="7">
        <f>D46</f>
        <v>2450430.7668861439</v>
      </c>
      <c r="E12" s="7">
        <f>E46</f>
        <v>2427838.1420680461</v>
      </c>
      <c r="F12" s="7">
        <f>F46</f>
        <v>2480589.1358884624</v>
      </c>
      <c r="G12" s="7">
        <f>G46</f>
        <v>2435191.097217408</v>
      </c>
      <c r="H12" s="7">
        <f>H46</f>
        <v>2491163.3504440552</v>
      </c>
    </row>
    <row r="13" spans="1:10">
      <c r="A13" t="s">
        <v>6</v>
      </c>
      <c r="C13" s="26">
        <f>117765534-C6</f>
        <v>117474256.89673881</v>
      </c>
      <c r="D13" s="6">
        <f>SUM(D8:D12)</f>
        <v>116743754.51729615</v>
      </c>
      <c r="E13" s="6">
        <f>SUM(E8:E12)</f>
        <v>119292357.28657329</v>
      </c>
      <c r="F13" s="6">
        <f>SUM(F8:F12)</f>
        <v>117156476.88409434</v>
      </c>
      <c r="G13" s="6">
        <f>SUM(G8:G12)</f>
        <v>119764589.81486285</v>
      </c>
      <c r="H13" s="6">
        <f>SUM(H8:H12)</f>
        <v>117523680.61567649</v>
      </c>
    </row>
    <row r="14" spans="1:10">
      <c r="C14" s="6"/>
      <c r="D14" s="6"/>
      <c r="E14" s="6"/>
      <c r="F14" s="6"/>
      <c r="G14" s="6"/>
      <c r="H14" s="6"/>
    </row>
    <row r="15" spans="1:10">
      <c r="A15" s="5" t="s">
        <v>7</v>
      </c>
      <c r="B15" s="8"/>
      <c r="C15" s="8">
        <f t="shared" ref="C15:H15" si="0">C6+C13</f>
        <v>117765534</v>
      </c>
      <c r="D15" s="8">
        <f t="shared" si="0"/>
        <v>117041148.43972582</v>
      </c>
      <c r="E15" s="8">
        <f t="shared" si="0"/>
        <v>119595996.48137398</v>
      </c>
      <c r="F15" s="8">
        <f t="shared" si="0"/>
        <v>117466492.50198585</v>
      </c>
      <c r="G15" s="8">
        <f t="shared" si="0"/>
        <v>120081115.76073007</v>
      </c>
      <c r="H15" s="8">
        <f t="shared" si="0"/>
        <v>117846853.60640694</v>
      </c>
    </row>
    <row r="16" spans="1:10">
      <c r="A16" s="5"/>
      <c r="B16" s="8"/>
      <c r="C16" s="28"/>
      <c r="D16" s="28"/>
      <c r="E16" s="28"/>
      <c r="F16" s="28"/>
      <c r="G16" s="28"/>
      <c r="H16" s="28"/>
    </row>
    <row r="17" spans="1:10">
      <c r="A17" s="5" t="s">
        <v>8</v>
      </c>
      <c r="B17" s="8"/>
      <c r="C17" s="8"/>
      <c r="D17" s="8">
        <f>(C15+D15)/2</f>
        <v>117403341.21986291</v>
      </c>
      <c r="E17" s="8">
        <f>(D15+E15)/2</f>
        <v>118318572.46054989</v>
      </c>
      <c r="F17" s="8">
        <f>(E15+F15)/2</f>
        <v>118531244.49167991</v>
      </c>
      <c r="G17" s="8">
        <f>(F15+G15)/2</f>
        <v>118773804.13135797</v>
      </c>
      <c r="H17" s="8">
        <f>(G15+H15)/2</f>
        <v>118963984.68356851</v>
      </c>
      <c r="J17" s="9"/>
    </row>
    <row r="18" spans="1:10">
      <c r="A18" s="5"/>
      <c r="B18" s="8"/>
      <c r="C18" s="28"/>
      <c r="D18" s="28"/>
      <c r="E18" s="28"/>
      <c r="F18" s="28"/>
      <c r="G18" s="28"/>
      <c r="H18" s="28"/>
    </row>
    <row r="19" spans="1:10">
      <c r="A19" t="s">
        <v>9</v>
      </c>
      <c r="B19" s="16">
        <v>9.7589999999999996E-2</v>
      </c>
      <c r="C19" s="10"/>
      <c r="D19" s="10">
        <f>$B$19</f>
        <v>9.7589999999999996E-2</v>
      </c>
      <c r="E19" s="10">
        <f>$B$19</f>
        <v>9.7589999999999996E-2</v>
      </c>
      <c r="F19" s="10">
        <f>$B$19</f>
        <v>9.7589999999999996E-2</v>
      </c>
      <c r="G19" s="10">
        <f>$B$19</f>
        <v>9.7589999999999996E-2</v>
      </c>
      <c r="H19" s="10">
        <f>$B$19</f>
        <v>9.7589999999999996E-2</v>
      </c>
    </row>
    <row r="20" spans="1:10">
      <c r="A20" s="5" t="s">
        <v>10</v>
      </c>
      <c r="B20" s="5"/>
      <c r="C20" s="8"/>
      <c r="D20" s="74">
        <f>D17*D19/12*7</f>
        <v>6683478.7072937451</v>
      </c>
      <c r="E20" s="8">
        <f>E17*E19</f>
        <v>11546709.486425063</v>
      </c>
      <c r="F20" s="8">
        <f>F17*F19</f>
        <v>11567464.149943043</v>
      </c>
      <c r="G20" s="8">
        <f>G17*G19</f>
        <v>11591135.545179224</v>
      </c>
      <c r="H20" s="8">
        <f>H17*H19</f>
        <v>11609695.265269451</v>
      </c>
      <c r="I20" s="8">
        <f>SUM(D20:H20)</f>
        <v>52998483.154110521</v>
      </c>
    </row>
    <row r="21" spans="1:10">
      <c r="C21" s="6"/>
      <c r="D21" s="6"/>
      <c r="E21" s="6"/>
      <c r="F21" s="6"/>
      <c r="G21" s="6"/>
      <c r="H21" s="6"/>
    </row>
    <row r="22" spans="1:10">
      <c r="A22" t="s">
        <v>11</v>
      </c>
      <c r="C22" s="6"/>
      <c r="D22" s="76">
        <f>7664063.23049418/12*7</f>
        <v>4470703.5511216046</v>
      </c>
      <c r="E22" s="26">
        <v>8148670.6939684981</v>
      </c>
      <c r="F22" s="26">
        <v>8347286.5661870837</v>
      </c>
      <c r="G22" s="26">
        <v>8596639.9467868246</v>
      </c>
      <c r="H22" s="26">
        <v>8785691.3343469407</v>
      </c>
      <c r="I22" s="8">
        <f>SUM(D22:H22)</f>
        <v>38348992.092410952</v>
      </c>
    </row>
    <row r="23" spans="1:10">
      <c r="A23" t="s">
        <v>4</v>
      </c>
      <c r="C23" s="26"/>
      <c r="D23" s="76">
        <f>-D9/12*7</f>
        <v>2704636.3825841905</v>
      </c>
      <c r="E23" s="26">
        <f>-E9</f>
        <v>4962199.1058351398</v>
      </c>
      <c r="F23" s="26">
        <f>-F9</f>
        <v>5016300.5246377503</v>
      </c>
      <c r="G23" s="26">
        <f>-G9</f>
        <v>5183893.49797069</v>
      </c>
      <c r="H23" s="26">
        <f>-H9</f>
        <v>5230713.8192085596</v>
      </c>
      <c r="I23" s="8">
        <f>SUM(D23:H23)</f>
        <v>23097743.330236327</v>
      </c>
    </row>
    <row r="24" spans="1:10">
      <c r="A24" t="s">
        <v>12</v>
      </c>
      <c r="C24" s="6"/>
      <c r="D24" s="75">
        <f>(D20)*0.28/(1-0.28)</f>
        <v>2599130.6083920123</v>
      </c>
      <c r="E24" s="6">
        <f>(E20)*0.28/(1-0.28)</f>
        <v>4490387.0224986365</v>
      </c>
      <c r="F24" s="6">
        <f>(F20)*0.28/(1-0.28)</f>
        <v>4498458.280533406</v>
      </c>
      <c r="G24" s="6">
        <f>(G20)*0.28/(1-0.28)</f>
        <v>4507663.8231252544</v>
      </c>
      <c r="H24" s="6">
        <f>(H20)*0.28/(1-0.28)</f>
        <v>4514881.4920492321</v>
      </c>
      <c r="I24" s="8">
        <f>SUM(D24:H24)</f>
        <v>20610521.226598542</v>
      </c>
      <c r="J24" s="11" t="s">
        <v>45</v>
      </c>
    </row>
    <row r="25" spans="1:10">
      <c r="A25" s="23" t="s">
        <v>44</v>
      </c>
      <c r="C25" s="6"/>
      <c r="D25" s="75">
        <f>((D45+D46)/12*7)+D49</f>
        <v>1624988.1381392579</v>
      </c>
      <c r="E25" s="6">
        <f>E45+E46+E49</f>
        <v>2626085.4607131267</v>
      </c>
      <c r="F25" s="6">
        <f>F45+F46+F49</f>
        <v>2678967.6052533346</v>
      </c>
      <c r="G25" s="6">
        <f>G45+G46+G49</f>
        <v>2633703.4714671872</v>
      </c>
      <c r="H25" s="6">
        <f>H45+H46+H49</f>
        <v>2689812.4415813247</v>
      </c>
      <c r="I25" s="8">
        <f>SUM(D25:H25)</f>
        <v>12253557.117154233</v>
      </c>
      <c r="J25" s="11"/>
    </row>
    <row r="26" spans="1:10">
      <c r="C26" s="6"/>
      <c r="D26" s="6"/>
      <c r="E26" s="6"/>
      <c r="F26" s="6"/>
      <c r="G26" s="6"/>
      <c r="H26" s="6"/>
    </row>
    <row r="27" spans="1:10">
      <c r="A27" s="5" t="s">
        <v>13</v>
      </c>
      <c r="B27" s="8"/>
      <c r="C27" s="8"/>
      <c r="D27" s="74">
        <f t="shared" ref="D27:I27" si="1">D20+D22+D23+D24-D25</f>
        <v>14832961.111252295</v>
      </c>
      <c r="E27" s="8">
        <f t="shared" si="1"/>
        <v>26521880.848014213</v>
      </c>
      <c r="F27" s="8">
        <f t="shared" si="1"/>
        <v>26750541.916047949</v>
      </c>
      <c r="G27" s="8">
        <f t="shared" si="1"/>
        <v>27245629.341594804</v>
      </c>
      <c r="H27" s="8">
        <f t="shared" si="1"/>
        <v>27451169.46929286</v>
      </c>
      <c r="I27" s="8">
        <f t="shared" si="1"/>
        <v>122802182.68620211</v>
      </c>
    </row>
    <row r="28" spans="1:10">
      <c r="C28" s="6"/>
      <c r="D28" s="6"/>
      <c r="E28" s="6"/>
      <c r="F28" s="6"/>
      <c r="G28" s="6"/>
      <c r="H28" s="6"/>
    </row>
    <row r="29" spans="1:10">
      <c r="A29" t="s">
        <v>55</v>
      </c>
      <c r="C29" s="6">
        <f>(C53*C63)+(C54*C64)+(C55*C65)</f>
        <v>14507737.74</v>
      </c>
      <c r="D29" s="75">
        <f>(D53*D63/12*7)+(D54*D64/12*7)+(D55*D65/12*7)</f>
        <v>8162846.2328198291</v>
      </c>
      <c r="E29" s="6">
        <f>(E53*E63)+(E54*E64)+(E55*E65)</f>
        <v>15942302.010599317</v>
      </c>
      <c r="F29" s="6">
        <f>(F53*F63)+(F54*F64)+(F55*F65)</f>
        <v>17536532.209801733</v>
      </c>
      <c r="G29" s="6">
        <f>(G53*G63)+(G54*G64)+(G55*G65)</f>
        <v>18062628.171684656</v>
      </c>
      <c r="H29" s="6">
        <f>(H53*H63)+(H54*H64)+(H55*H65)</f>
        <v>18604507.028034065</v>
      </c>
      <c r="I29" s="13">
        <f>SUM(D29:H29)</f>
        <v>78308815.652939603</v>
      </c>
    </row>
    <row r="30" spans="1:10">
      <c r="A30" t="s">
        <v>56</v>
      </c>
      <c r="C30" s="6">
        <f>C58*C66</f>
        <v>3422800.96</v>
      </c>
      <c r="D30" s="75">
        <f>D58*D66/12*7</f>
        <v>1831095.4258333333</v>
      </c>
      <c r="E30" s="6">
        <f>E58*E66</f>
        <v>3139020.73</v>
      </c>
      <c r="F30" s="6">
        <f>F58*F66</f>
        <v>3386463.1399999997</v>
      </c>
      <c r="G30" s="6">
        <f>G58*G66</f>
        <v>3576246.5300000003</v>
      </c>
      <c r="H30" s="6">
        <f>H58*H66</f>
        <v>3765133.3000000007</v>
      </c>
      <c r="I30" s="13">
        <f>SUM(D30:H30)</f>
        <v>15697959.125833334</v>
      </c>
    </row>
    <row r="31" spans="1:10">
      <c r="A31" t="s">
        <v>14</v>
      </c>
      <c r="C31" s="6"/>
      <c r="D31" s="77"/>
      <c r="E31" s="31"/>
      <c r="F31" s="31"/>
      <c r="G31" s="31"/>
      <c r="H31" s="31"/>
      <c r="I31" s="13"/>
    </row>
    <row r="32" spans="1:10">
      <c r="A32" s="5" t="s">
        <v>15</v>
      </c>
      <c r="B32" s="5"/>
      <c r="C32" s="8">
        <f t="shared" ref="C32:H32" si="2">SUM(C29:C31)</f>
        <v>17930538.699999999</v>
      </c>
      <c r="D32" s="74">
        <f t="shared" si="2"/>
        <v>9993941.6586531624</v>
      </c>
      <c r="E32" s="8">
        <f t="shared" si="2"/>
        <v>19081322.740599316</v>
      </c>
      <c r="F32" s="8">
        <f t="shared" si="2"/>
        <v>20922995.349801734</v>
      </c>
      <c r="G32" s="8">
        <f t="shared" si="2"/>
        <v>21638874.701684657</v>
      </c>
      <c r="H32" s="8">
        <f t="shared" si="2"/>
        <v>22369640.328034066</v>
      </c>
      <c r="I32" s="8">
        <f>SUM(D32:H32)</f>
        <v>94006774.77877292</v>
      </c>
    </row>
    <row r="33" spans="1:10">
      <c r="A33" s="5"/>
      <c r="B33" s="5"/>
      <c r="C33" s="8"/>
      <c r="D33" s="64"/>
      <c r="E33" s="64"/>
      <c r="F33" s="64"/>
      <c r="G33" s="64"/>
      <c r="H33" s="64"/>
      <c r="I33" s="65"/>
    </row>
    <row r="34" spans="1:10">
      <c r="A34" s="5" t="s">
        <v>50</v>
      </c>
      <c r="B34" s="8"/>
      <c r="C34" s="8"/>
      <c r="D34" s="8">
        <f>D32-D27</f>
        <v>-4839019.4525991324</v>
      </c>
      <c r="E34" s="8">
        <f>E32-E27</f>
        <v>-7440558.1074148975</v>
      </c>
      <c r="F34" s="8">
        <f>F32-F27</f>
        <v>-5827546.5662462153</v>
      </c>
      <c r="G34" s="8">
        <f>G32-G27</f>
        <v>-5606754.6399101466</v>
      </c>
      <c r="H34" s="8">
        <f>H32-H27</f>
        <v>-5081529.1412587948</v>
      </c>
      <c r="J34" s="14"/>
    </row>
    <row r="35" spans="1:10">
      <c r="A35" s="5"/>
      <c r="B35" s="43"/>
      <c r="C35" s="8"/>
      <c r="D35" s="8"/>
      <c r="E35" s="8"/>
      <c r="F35" s="8"/>
      <c r="G35" s="8"/>
      <c r="H35" s="8"/>
      <c r="J35" s="14"/>
    </row>
    <row r="36" spans="1:10">
      <c r="A36" s="5" t="s">
        <v>16</v>
      </c>
      <c r="C36" s="6"/>
      <c r="D36" s="6">
        <f>D34*(1-0.28)</f>
        <v>-3484094.0058713751</v>
      </c>
      <c r="E36" s="6">
        <f>E34*(1-0.28)</f>
        <v>-5357201.837338726</v>
      </c>
      <c r="F36" s="6">
        <f>F34*(1-0.28)</f>
        <v>-4195833.5276972745</v>
      </c>
      <c r="G36" s="6">
        <f>G34*(1-0.28)</f>
        <v>-4036863.3407353056</v>
      </c>
      <c r="H36" s="6">
        <f>H34*(1-0.28)</f>
        <v>-3658700.9817063319</v>
      </c>
    </row>
    <row r="37" spans="1:10">
      <c r="A37" s="5"/>
      <c r="C37" s="6"/>
      <c r="D37" s="6"/>
      <c r="E37" s="6"/>
      <c r="F37" s="6"/>
      <c r="G37" s="6"/>
      <c r="H37" s="6"/>
    </row>
    <row r="38" spans="1:10">
      <c r="A38" s="23" t="s">
        <v>103</v>
      </c>
      <c r="C38" s="6"/>
      <c r="D38" s="79">
        <f>8.5/12</f>
        <v>0.70833333333333337</v>
      </c>
      <c r="E38" s="43">
        <v>1.5</v>
      </c>
      <c r="F38" s="43">
        <v>2.5</v>
      </c>
      <c r="G38" s="43">
        <v>3.5</v>
      </c>
      <c r="H38" s="43">
        <v>4.5</v>
      </c>
    </row>
    <row r="39" spans="1:10" s="5" customFormat="1">
      <c r="A39" s="5" t="s">
        <v>51</v>
      </c>
      <c r="B39" s="45">
        <f>B19</f>
        <v>9.7589999999999996E-2</v>
      </c>
      <c r="C39" s="8"/>
      <c r="D39" s="8">
        <f>D36/(1+$B$39)^D38</f>
        <v>-3261705.6363409981</v>
      </c>
      <c r="E39" s="8">
        <f t="shared" ref="E39:H39" si="3">E36/(1+$B$39)^E38</f>
        <v>-4658840.0123195834</v>
      </c>
      <c r="F39" s="8">
        <f t="shared" si="3"/>
        <v>-3324435.3754640464</v>
      </c>
      <c r="G39" s="8">
        <f t="shared" si="3"/>
        <v>-2914093.9686142909</v>
      </c>
      <c r="H39" s="8">
        <f t="shared" si="3"/>
        <v>-2406280.6560718231</v>
      </c>
      <c r="I39" s="15">
        <f>SUM(D39:H39)</f>
        <v>-16565355.648810742</v>
      </c>
      <c r="J39" s="27"/>
    </row>
    <row r="40" spans="1:10">
      <c r="A40" s="12"/>
      <c r="B40" s="44"/>
      <c r="C40" s="6"/>
      <c r="E40" s="6"/>
      <c r="F40" s="6"/>
      <c r="G40" s="6"/>
      <c r="H40" s="6"/>
      <c r="J40" s="9"/>
    </row>
    <row r="42" spans="1:10">
      <c r="D42" s="10"/>
      <c r="E42" s="10"/>
      <c r="F42" s="10"/>
      <c r="G42" s="10"/>
      <c r="H42" s="10"/>
    </row>
    <row r="43" spans="1:10">
      <c r="A43" t="s">
        <v>33</v>
      </c>
      <c r="C43" s="10"/>
      <c r="D43" s="17">
        <v>2.1000000000000001E-2</v>
      </c>
      <c r="E43" s="17">
        <f>D43</f>
        <v>2.1000000000000001E-2</v>
      </c>
      <c r="F43" s="17">
        <f>E43</f>
        <v>2.1000000000000001E-2</v>
      </c>
      <c r="G43" s="17">
        <f>F43</f>
        <v>2.1000000000000001E-2</v>
      </c>
      <c r="H43" s="17">
        <f>G43</f>
        <v>2.1000000000000001E-2</v>
      </c>
    </row>
    <row r="44" spans="1:10">
      <c r="C44" s="10"/>
      <c r="D44" s="17"/>
      <c r="E44" s="17"/>
      <c r="F44" s="17"/>
      <c r="G44" s="17"/>
      <c r="H44" s="17"/>
    </row>
    <row r="45" spans="1:10">
      <c r="A45" t="s">
        <v>34</v>
      </c>
      <c r="C45" s="10"/>
      <c r="D45" s="19">
        <f>C6*D43</f>
        <v>6116.8191684849535</v>
      </c>
      <c r="E45" s="19">
        <f>D6*E43</f>
        <v>6245.2723710231376</v>
      </c>
      <c r="F45" s="19">
        <f>E6*F43</f>
        <v>6376.4230908146237</v>
      </c>
      <c r="G45" s="19">
        <f>F6*G43</f>
        <v>6510.3279757217306</v>
      </c>
      <c r="H45" s="19">
        <f>G6*H43</f>
        <v>6647.0448632118869</v>
      </c>
      <c r="I45" s="21">
        <f>SUM(D45:H45)</f>
        <v>31895.887469256333</v>
      </c>
    </row>
    <row r="46" spans="1:10" ht="25.5">
      <c r="A46" t="s">
        <v>35</v>
      </c>
      <c r="C46" s="10"/>
      <c r="D46" s="19">
        <f>D8*(0.9933*D43)</f>
        <v>2450430.7668861439</v>
      </c>
      <c r="E46" s="19">
        <f>E8*(0.9903*E43)</f>
        <v>2427838.1420680461</v>
      </c>
      <c r="F46" s="19">
        <f>F8*(0.9902*F43)</f>
        <v>2480589.1358884624</v>
      </c>
      <c r="G46" s="19">
        <f>G8*(0.9898*G43)</f>
        <v>2435191.097217408</v>
      </c>
      <c r="H46" s="19">
        <f>H8*(0.9905*H43)</f>
        <v>2491163.3504440552</v>
      </c>
      <c r="I46" s="21">
        <f>SUM(D46:H46)</f>
        <v>12285212.492504116</v>
      </c>
      <c r="J46" s="2" t="s">
        <v>104</v>
      </c>
    </row>
    <row r="47" spans="1:10">
      <c r="A47" t="s">
        <v>111</v>
      </c>
      <c r="C47" s="10"/>
      <c r="D47" s="19">
        <f>SUM(D45:D46)</f>
        <v>2456547.5860546287</v>
      </c>
      <c r="E47" s="19">
        <f t="shared" ref="E47:H47" si="4">SUM(E45:E46)</f>
        <v>2434083.4144390691</v>
      </c>
      <c r="F47" s="19">
        <f t="shared" si="4"/>
        <v>2486965.558979277</v>
      </c>
      <c r="G47" s="19">
        <f t="shared" si="4"/>
        <v>2441701.4251931296</v>
      </c>
      <c r="H47" s="19">
        <f t="shared" si="4"/>
        <v>2497810.3953072671</v>
      </c>
      <c r="I47" s="21"/>
    </row>
    <row r="48" spans="1:10">
      <c r="C48" s="10"/>
      <c r="D48" s="62"/>
      <c r="E48" s="62"/>
      <c r="F48" s="62"/>
      <c r="G48" s="62"/>
      <c r="H48" s="62"/>
      <c r="I48" s="21"/>
    </row>
    <row r="49" spans="1:10">
      <c r="A49" t="s">
        <v>36</v>
      </c>
      <c r="B49" s="33">
        <v>666283.53533129313</v>
      </c>
      <c r="C49" s="10">
        <f>B19/(1-0.28)</f>
        <v>0.13554166666666667</v>
      </c>
      <c r="D49" s="19">
        <f>-PMT($C$49,5,$B$49,0)</f>
        <v>192002.04627405779</v>
      </c>
      <c r="E49" s="19">
        <f>-PMT($C$49,5,$B$49,0)</f>
        <v>192002.04627405779</v>
      </c>
      <c r="F49" s="19">
        <f>-PMT($C$49,5,$B$49,0)</f>
        <v>192002.04627405779</v>
      </c>
      <c r="G49" s="19">
        <f>-PMT($C$49,5,$B$49,0)</f>
        <v>192002.04627405779</v>
      </c>
      <c r="H49" s="19">
        <f>-PMT($C$49,5,$B$49,0)</f>
        <v>192002.04627405779</v>
      </c>
      <c r="I49" s="21">
        <f>SUM(D49:H49)</f>
        <v>960010.231370289</v>
      </c>
      <c r="J49" s="2" t="s">
        <v>47</v>
      </c>
    </row>
    <row r="50" spans="1:10">
      <c r="B50" s="33"/>
      <c r="C50" s="10"/>
      <c r="D50" s="19"/>
      <c r="E50" s="19"/>
      <c r="F50" s="19"/>
      <c r="G50" s="19"/>
      <c r="H50" s="19"/>
      <c r="I50" s="21"/>
    </row>
    <row r="51" spans="1:10">
      <c r="A51" t="s">
        <v>52</v>
      </c>
      <c r="B51" s="19"/>
      <c r="C51" s="10"/>
      <c r="D51" s="19">
        <f>D47+D49</f>
        <v>2648549.6323286863</v>
      </c>
      <c r="E51" s="19">
        <f t="shared" ref="E51:H51" si="5">E47+E49</f>
        <v>2626085.4607131267</v>
      </c>
      <c r="F51" s="19">
        <f t="shared" si="5"/>
        <v>2678967.6052533346</v>
      </c>
      <c r="G51" s="19">
        <f t="shared" si="5"/>
        <v>2633703.4714671872</v>
      </c>
      <c r="H51" s="19">
        <f t="shared" si="5"/>
        <v>2689812.4415813247</v>
      </c>
      <c r="I51" s="21">
        <f>SUM(D51:H51)</f>
        <v>13277118.611343659</v>
      </c>
    </row>
    <row r="52" spans="1:10">
      <c r="C52" s="26"/>
      <c r="D52" s="26"/>
      <c r="E52" s="26"/>
      <c r="F52" s="26"/>
      <c r="G52" s="26"/>
      <c r="H52" s="26"/>
    </row>
    <row r="53" spans="1:10">
      <c r="A53" t="s">
        <v>62</v>
      </c>
      <c r="C53" s="33">
        <f>0.93*1405380</f>
        <v>1307003.4000000001</v>
      </c>
      <c r="D53" s="21">
        <f>C53*(1+D60)</f>
        <v>1260671.2328679273</v>
      </c>
      <c r="E53" s="21">
        <f>D53*(1+E60)</f>
        <v>1355221.5753569752</v>
      </c>
      <c r="F53" s="21">
        <f>E53*(1+F60)</f>
        <v>1490743.7327347691</v>
      </c>
      <c r="G53" s="21">
        <f>F53*(1+G60)</f>
        <v>1535466.0443418315</v>
      </c>
      <c r="H53" s="21">
        <f>G53*(1+H60)</f>
        <v>1581530.0266240786</v>
      </c>
      <c r="I53" s="21"/>
      <c r="J53" s="2" t="s">
        <v>26</v>
      </c>
    </row>
    <row r="54" spans="1:10">
      <c r="A54" t="s">
        <v>63</v>
      </c>
      <c r="C54" s="33">
        <f>0.0556*1405380</f>
        <v>78139.127999999997</v>
      </c>
      <c r="D54" s="21">
        <f>C54*(1+D60)</f>
        <v>75369.161878985746</v>
      </c>
      <c r="E54" s="21">
        <f>D54*(1+E60)</f>
        <v>81021.849021341724</v>
      </c>
      <c r="F54" s="21">
        <f>E54*(1+F60)</f>
        <v>89124.033914035637</v>
      </c>
      <c r="G54" s="21">
        <f>F54*(1+G60)</f>
        <v>91797.7549090385</v>
      </c>
      <c r="H54" s="21">
        <f>G54*(1+H60)</f>
        <v>94551.687613224451</v>
      </c>
    </row>
    <row r="55" spans="1:10">
      <c r="A55" t="s">
        <v>64</v>
      </c>
      <c r="C55" s="33">
        <f>0.0144*1405380</f>
        <v>20237.471999999998</v>
      </c>
      <c r="D55" s="21">
        <f>C55*(1+D60)</f>
        <v>19520.070702471126</v>
      </c>
      <c r="E55" s="21">
        <f>D55*(1+E60)</f>
        <v>20984.076005527353</v>
      </c>
      <c r="F55" s="21">
        <f>E55*(1+F60)</f>
        <v>23082.48360363513</v>
      </c>
      <c r="G55" s="21">
        <f>F55*(1+G60)</f>
        <v>23774.958105938029</v>
      </c>
      <c r="H55" s="21">
        <f>G55*(1+H60)</f>
        <v>24488.206863856693</v>
      </c>
    </row>
    <row r="56" spans="1:10">
      <c r="A56" t="s">
        <v>112</v>
      </c>
      <c r="C56" s="33">
        <f>SUM(C53:C55)</f>
        <v>1405380.0000000002</v>
      </c>
      <c r="D56" s="33">
        <f t="shared" ref="D56:H56" si="6">SUM(D53:D55)</f>
        <v>1355560.4654493842</v>
      </c>
      <c r="E56" s="33">
        <f t="shared" si="6"/>
        <v>1457227.5003838441</v>
      </c>
      <c r="F56" s="33">
        <f t="shared" si="6"/>
        <v>1602950.2502524399</v>
      </c>
      <c r="G56" s="33">
        <f t="shared" si="6"/>
        <v>1651038.7573568081</v>
      </c>
      <c r="H56" s="33">
        <f t="shared" si="6"/>
        <v>1700569.9211011596</v>
      </c>
      <c r="I56" s="20">
        <f>(H56-C56)/C56</f>
        <v>0.21004277924914214</v>
      </c>
    </row>
    <row r="57" spans="1:10">
      <c r="C57" s="33"/>
      <c r="D57" s="21"/>
      <c r="E57" s="21"/>
      <c r="F57" s="21"/>
      <c r="G57" s="21"/>
      <c r="H57" s="21"/>
    </row>
    <row r="58" spans="1:10">
      <c r="A58" t="s">
        <v>95</v>
      </c>
      <c r="C58" s="6">
        <v>969632</v>
      </c>
      <c r="D58" s="21">
        <f t="shared" ref="D58:H58" si="7">C58*(1+D61)</f>
        <v>889241</v>
      </c>
      <c r="E58" s="21">
        <f t="shared" si="7"/>
        <v>889241</v>
      </c>
      <c r="F58" s="21">
        <f t="shared" si="7"/>
        <v>959338</v>
      </c>
      <c r="G58" s="21">
        <f t="shared" si="7"/>
        <v>1013101.0000000001</v>
      </c>
      <c r="H58" s="21">
        <f t="shared" si="7"/>
        <v>1066610.0000000002</v>
      </c>
      <c r="I58" s="20">
        <f>(H58-C58)/C58</f>
        <v>0.10001526352265626</v>
      </c>
      <c r="J58" s="2" t="s">
        <v>26</v>
      </c>
    </row>
    <row r="59" spans="1:10">
      <c r="C59" s="19"/>
      <c r="D59" s="21"/>
      <c r="E59" s="21"/>
      <c r="F59" s="21"/>
      <c r="G59" s="21"/>
      <c r="H59" s="21"/>
    </row>
    <row r="60" spans="1:10">
      <c r="A60" t="s">
        <v>57</v>
      </c>
      <c r="C60" s="10"/>
      <c r="D60" s="20">
        <v>-3.544915578036982E-2</v>
      </c>
      <c r="E60" s="20">
        <v>7.5000000019000632E-2</v>
      </c>
      <c r="F60" s="20">
        <v>9.9999999883484972E-2</v>
      </c>
      <c r="G60" s="20">
        <v>2.9999999748460508E-2</v>
      </c>
      <c r="H60" s="20">
        <v>3.0000000620002115E-2</v>
      </c>
      <c r="J60" s="2" t="s">
        <v>26</v>
      </c>
    </row>
    <row r="61" spans="1:10">
      <c r="A61" t="s">
        <v>58</v>
      </c>
      <c r="C61" s="10"/>
      <c r="D61" s="20">
        <v>-8.2908773637833735E-2</v>
      </c>
      <c r="E61" s="20">
        <v>0</v>
      </c>
      <c r="F61" s="20">
        <v>7.882789929839043E-2</v>
      </c>
      <c r="G61" s="20">
        <v>5.6041770470887216E-2</v>
      </c>
      <c r="H61" s="20">
        <v>5.2817043907764379E-2</v>
      </c>
      <c r="J61" s="2" t="s">
        <v>26</v>
      </c>
    </row>
    <row r="62" spans="1:10">
      <c r="C62" s="10"/>
      <c r="D62" s="20"/>
      <c r="E62" s="20"/>
      <c r="F62" s="20"/>
      <c r="G62" s="20"/>
      <c r="H62" s="20"/>
    </row>
    <row r="63" spans="1:10">
      <c r="A63" t="s">
        <v>65</v>
      </c>
      <c r="C63" s="22">
        <v>11.1</v>
      </c>
      <c r="D63" s="22">
        <f>C63*(1+D68)</f>
        <v>11.1</v>
      </c>
      <c r="E63" s="22">
        <f>D63*(1+E68)</f>
        <v>11.1</v>
      </c>
      <c r="F63" s="22">
        <f>E63*(1+F68)</f>
        <v>11.1</v>
      </c>
      <c r="G63" s="22">
        <f>F63*(1+G68)</f>
        <v>11.1</v>
      </c>
      <c r="H63" s="22">
        <f>G63*(1+H68)</f>
        <v>11.1</v>
      </c>
    </row>
    <row r="64" spans="1:10">
      <c r="A64" t="s">
        <v>66</v>
      </c>
      <c r="C64" s="22">
        <v>0</v>
      </c>
      <c r="D64" s="22">
        <f>C64*(1+D68)</f>
        <v>0</v>
      </c>
      <c r="E64" s="22">
        <f>E63</f>
        <v>11.1</v>
      </c>
      <c r="F64" s="22">
        <f>E64*(1+F68)</f>
        <v>11.1</v>
      </c>
      <c r="G64" s="22">
        <f>F64*(1+G68)</f>
        <v>11.1</v>
      </c>
      <c r="H64" s="22">
        <f>G64*(1+H68)</f>
        <v>11.1</v>
      </c>
    </row>
    <row r="65" spans="1:10">
      <c r="A65" t="s">
        <v>67</v>
      </c>
      <c r="C65" s="22">
        <v>0</v>
      </c>
      <c r="D65" s="22">
        <f t="shared" ref="D65:H66" si="8">C65*(1+D68)</f>
        <v>0</v>
      </c>
      <c r="E65" s="22">
        <f t="shared" si="8"/>
        <v>0</v>
      </c>
      <c r="F65" s="22">
        <f t="shared" si="8"/>
        <v>0</v>
      </c>
      <c r="G65" s="22">
        <f t="shared" si="8"/>
        <v>0</v>
      </c>
      <c r="H65" s="22">
        <f t="shared" si="8"/>
        <v>0</v>
      </c>
    </row>
    <row r="66" spans="1:10">
      <c r="A66" t="s">
        <v>59</v>
      </c>
      <c r="C66" s="22">
        <v>3.53</v>
      </c>
      <c r="D66" s="22">
        <f t="shared" si="8"/>
        <v>3.53</v>
      </c>
      <c r="E66" s="22">
        <f t="shared" si="8"/>
        <v>3.53</v>
      </c>
      <c r="F66" s="22">
        <f t="shared" si="8"/>
        <v>3.53</v>
      </c>
      <c r="G66" s="22">
        <f t="shared" si="8"/>
        <v>3.53</v>
      </c>
      <c r="H66" s="22">
        <f t="shared" si="8"/>
        <v>3.53</v>
      </c>
    </row>
    <row r="67" spans="1:10">
      <c r="C67" s="22"/>
      <c r="D67" s="22"/>
      <c r="E67" s="22"/>
      <c r="F67" s="22"/>
      <c r="G67" s="22"/>
      <c r="H67" s="22"/>
    </row>
    <row r="68" spans="1:10">
      <c r="A68" t="s">
        <v>60</v>
      </c>
      <c r="C68" s="10"/>
      <c r="D68" s="18">
        <v>0</v>
      </c>
      <c r="E68" s="18">
        <v>0</v>
      </c>
      <c r="F68" s="18">
        <v>0</v>
      </c>
      <c r="G68" s="18">
        <v>0</v>
      </c>
      <c r="H68" s="18">
        <v>0</v>
      </c>
      <c r="J68" s="2" t="s">
        <v>26</v>
      </c>
    </row>
    <row r="69" spans="1:10">
      <c r="A69" t="s">
        <v>61</v>
      </c>
      <c r="D69" s="18">
        <v>0</v>
      </c>
      <c r="E69" s="18">
        <v>0</v>
      </c>
      <c r="F69" s="18">
        <v>0</v>
      </c>
      <c r="G69" s="18">
        <v>0</v>
      </c>
      <c r="H69" s="18">
        <v>0</v>
      </c>
      <c r="J69" s="2" t="s">
        <v>26</v>
      </c>
    </row>
    <row r="70" spans="1:10">
      <c r="D70" s="10"/>
      <c r="E70" s="10"/>
      <c r="F70" s="10"/>
      <c r="G70" s="10"/>
      <c r="H70" s="10"/>
    </row>
    <row r="71" spans="1:10">
      <c r="C71" s="63"/>
      <c r="D71" s="63"/>
      <c r="E71" s="63"/>
      <c r="F71" s="63"/>
      <c r="G71" s="63"/>
      <c r="H71" s="63"/>
    </row>
    <row r="72" spans="1:10">
      <c r="D72" s="6"/>
      <c r="E72" s="6"/>
      <c r="F72" s="6"/>
      <c r="G72" s="6"/>
      <c r="H72" s="6"/>
    </row>
    <row r="73" spans="1:10">
      <c r="A73" s="5" t="s">
        <v>49</v>
      </c>
    </row>
    <row r="74" spans="1:10">
      <c r="A74" t="s">
        <v>38</v>
      </c>
      <c r="C74" s="26"/>
      <c r="D74" s="60">
        <v>4470703.5511216056</v>
      </c>
      <c r="E74" s="58">
        <v>8148670.6939684981</v>
      </c>
      <c r="F74" s="58">
        <v>8347286.5661870837</v>
      </c>
      <c r="G74" s="58">
        <v>8596639.9467868246</v>
      </c>
      <c r="H74" s="58">
        <v>8785691.3343469407</v>
      </c>
      <c r="I74" s="26">
        <f t="shared" ref="I74:I79" si="9">SUM(D74:H74)</f>
        <v>38348992.092410952</v>
      </c>
    </row>
    <row r="75" spans="1:10">
      <c r="A75" t="s">
        <v>39</v>
      </c>
      <c r="C75" s="26"/>
      <c r="D75" s="60">
        <v>2704636.3825841895</v>
      </c>
      <c r="E75" s="58">
        <v>4962199.1058351351</v>
      </c>
      <c r="F75" s="58">
        <v>5016300.5246377513</v>
      </c>
      <c r="G75" s="58">
        <v>5183893.4979706854</v>
      </c>
      <c r="H75" s="58">
        <v>5230713.8192085577</v>
      </c>
      <c r="I75" s="26">
        <f t="shared" si="9"/>
        <v>23097743.330236319</v>
      </c>
    </row>
    <row r="76" spans="1:10">
      <c r="A76" t="s">
        <v>40</v>
      </c>
      <c r="C76" s="26"/>
      <c r="D76" s="60">
        <v>9282677.7901503071</v>
      </c>
      <c r="E76" s="58">
        <v>16037217.067903452</v>
      </c>
      <c r="F76" s="58">
        <v>16066048.772492383</v>
      </c>
      <c r="G76" s="58">
        <v>16098922.653771423</v>
      </c>
      <c r="H76" s="58">
        <v>16124684.890022876</v>
      </c>
      <c r="I76" s="26">
        <f t="shared" si="9"/>
        <v>73609551.174340442</v>
      </c>
    </row>
    <row r="77" spans="1:10">
      <c r="A77" t="s">
        <v>41</v>
      </c>
      <c r="C77" s="26"/>
      <c r="D77" s="60">
        <v>-1432985.9449847762</v>
      </c>
      <c r="E77" s="58">
        <v>-2434116.9982054019</v>
      </c>
      <c r="F77" s="58">
        <v>-2487014.1687286892</v>
      </c>
      <c r="G77" s="58">
        <v>-2441604.1354419375</v>
      </c>
      <c r="H77" s="58">
        <v>-2497681.2922379356</v>
      </c>
      <c r="I77" s="26">
        <f t="shared" si="9"/>
        <v>-11293402.539598739</v>
      </c>
    </row>
    <row r="78" spans="1:10">
      <c r="A78" t="s">
        <v>42</v>
      </c>
      <c r="C78" s="26"/>
      <c r="D78" s="58">
        <v>-192002.51084017698</v>
      </c>
      <c r="E78" s="58">
        <v>-192002.51084017698</v>
      </c>
      <c r="F78" s="58">
        <v>-192002.51084017698</v>
      </c>
      <c r="G78" s="58">
        <v>-192002.51084017698</v>
      </c>
      <c r="H78" s="58">
        <v>-192002.51084017698</v>
      </c>
      <c r="I78" s="26">
        <f t="shared" si="9"/>
        <v>-960012.55420088489</v>
      </c>
    </row>
    <row r="79" spans="1:10">
      <c r="A79" t="s">
        <v>43</v>
      </c>
      <c r="C79" s="26"/>
      <c r="D79" s="61">
        <v>14833029.268031148</v>
      </c>
      <c r="E79" s="61">
        <v>26521967.358661506</v>
      </c>
      <c r="F79" s="61">
        <v>26750619.18374835</v>
      </c>
      <c r="G79" s="61">
        <v>27245849.452246819</v>
      </c>
      <c r="H79" s="61">
        <v>27451406.240500256</v>
      </c>
      <c r="I79" s="26">
        <f t="shared" si="9"/>
        <v>122802871.50318807</v>
      </c>
    </row>
    <row r="80" spans="1:10">
      <c r="D80" s="6"/>
    </row>
    <row r="81" spans="1:9">
      <c r="C81" s="6"/>
      <c r="D81" s="8"/>
      <c r="E81" s="8"/>
      <c r="F81" s="8"/>
      <c r="G81" s="8"/>
      <c r="H81" s="8"/>
    </row>
    <row r="82" spans="1:9">
      <c r="C82" s="6"/>
      <c r="D82" s="29"/>
      <c r="E82" s="29"/>
      <c r="F82" s="29"/>
      <c r="G82" s="29"/>
      <c r="H82" s="29"/>
      <c r="I82" s="6"/>
    </row>
    <row r="83" spans="1:9">
      <c r="C83" s="6"/>
      <c r="D83" s="29"/>
      <c r="E83" s="29"/>
      <c r="F83" s="29"/>
      <c r="G83" s="29"/>
      <c r="H83" s="29"/>
      <c r="I83" s="6"/>
    </row>
    <row r="84" spans="1:9">
      <c r="C84" s="6"/>
      <c r="D84" s="46"/>
      <c r="E84" s="46"/>
      <c r="F84" s="46"/>
      <c r="G84" s="46"/>
      <c r="H84" s="46"/>
      <c r="I84" s="6"/>
    </row>
    <row r="85" spans="1:9">
      <c r="A85" s="5"/>
    </row>
    <row r="87" spans="1:9">
      <c r="D87" s="51"/>
      <c r="E87" s="51"/>
      <c r="F87" s="51"/>
      <c r="G87" s="51"/>
      <c r="H87" s="51"/>
    </row>
    <row r="89" spans="1:9">
      <c r="D89" s="50"/>
      <c r="E89" s="50"/>
      <c r="F89" s="50"/>
      <c r="G89" s="50"/>
      <c r="H89" s="50"/>
    </row>
    <row r="96" spans="1:9">
      <c r="A96" s="5"/>
    </row>
    <row r="109" spans="1:8">
      <c r="A109" s="5"/>
    </row>
    <row r="110" spans="1:8">
      <c r="D110" s="10"/>
      <c r="E110" s="10"/>
      <c r="F110" s="10"/>
      <c r="G110" s="10"/>
      <c r="H110" s="10"/>
    </row>
    <row r="111" spans="1:8">
      <c r="D111" s="6"/>
      <c r="E111" s="6"/>
      <c r="F111" s="6"/>
      <c r="G111" s="6"/>
      <c r="H111" s="6"/>
    </row>
    <row r="112" spans="1:8">
      <c r="D112" s="6"/>
      <c r="E112" s="6"/>
      <c r="F112" s="6"/>
      <c r="G112" s="6"/>
      <c r="H112" s="6"/>
    </row>
    <row r="114" spans="4:8">
      <c r="D114" s="6"/>
      <c r="E114" s="6"/>
      <c r="F114" s="6"/>
      <c r="G114" s="6"/>
      <c r="H114" s="6"/>
    </row>
    <row r="116" spans="4:8">
      <c r="D116" s="6"/>
      <c r="E116" s="6"/>
      <c r="F116" s="6"/>
      <c r="G116" s="6"/>
      <c r="H116" s="6"/>
    </row>
    <row r="117" spans="4:8">
      <c r="D117" s="6"/>
    </row>
    <row r="118" spans="4:8">
      <c r="D118" s="6"/>
    </row>
    <row r="119" spans="4:8">
      <c r="D119" s="6"/>
    </row>
  </sheetData>
  <printOptions gridLines="1"/>
  <pageMargins left="0.74803149606299213" right="0.74803149606299213" top="0.98425196850393704" bottom="0.98425196850393704" header="0.51181102362204722" footer="0.51181102362204722"/>
  <pageSetup paperSize="9" scale="45" orientation="landscape" verticalDpi="0" r:id="rId1"/>
  <headerFooter alignWithMargins="0">
    <oddFooter>&amp;LBARNZ ALTERNATIVE REVENUE MODELLING&amp;C &amp;RSEPTMBER 2012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9"/>
  <sheetViews>
    <sheetView zoomScaleNormal="100" workbookViewId="0">
      <pane ySplit="4" topLeftCell="A17" activePane="bottomLeft" state="frozenSplit"/>
      <selection pane="bottomLeft" activeCell="D38" sqref="D38"/>
    </sheetView>
  </sheetViews>
  <sheetFormatPr defaultRowHeight="12.75"/>
  <cols>
    <col min="1" max="1" width="40.42578125" customWidth="1"/>
    <col min="2" max="9" width="13.7109375" customWidth="1"/>
    <col min="10" max="10" width="115.7109375" style="2" customWidth="1"/>
  </cols>
  <sheetData>
    <row r="1" spans="1:10" ht="18">
      <c r="A1" s="1" t="s">
        <v>115</v>
      </c>
    </row>
    <row r="3" spans="1:10" ht="18">
      <c r="A3" s="1" t="s">
        <v>53</v>
      </c>
      <c r="B3" s="3"/>
      <c r="C3" s="3"/>
      <c r="D3" s="73" t="s">
        <v>108</v>
      </c>
    </row>
    <row r="4" spans="1:10">
      <c r="B4" s="4" t="s">
        <v>102</v>
      </c>
      <c r="C4" s="4">
        <v>2012</v>
      </c>
      <c r="D4" s="4">
        <v>2013</v>
      </c>
      <c r="E4" s="4">
        <v>2014</v>
      </c>
      <c r="F4" s="4">
        <v>2015</v>
      </c>
      <c r="G4" s="4">
        <v>2016</v>
      </c>
      <c r="H4" s="4">
        <v>2017</v>
      </c>
      <c r="I4" s="4" t="s">
        <v>1</v>
      </c>
      <c r="J4" s="27" t="s">
        <v>46</v>
      </c>
    </row>
    <row r="5" spans="1:10">
      <c r="A5" s="5" t="s">
        <v>2</v>
      </c>
    </row>
    <row r="6" spans="1:10">
      <c r="A6" t="s">
        <v>121</v>
      </c>
      <c r="C6" s="6">
        <v>291277.10326118825</v>
      </c>
      <c r="D6" s="6">
        <f>C6+D45</f>
        <v>297393.9224296732</v>
      </c>
      <c r="E6" s="6">
        <f>D6+E45</f>
        <v>303639.19480069634</v>
      </c>
      <c r="F6" s="6">
        <f>E6+F45</f>
        <v>310015.61789151095</v>
      </c>
      <c r="G6" s="6">
        <f>F6+G45</f>
        <v>316525.94586723269</v>
      </c>
      <c r="H6" s="6">
        <f>G6+H45</f>
        <v>323172.99073044455</v>
      </c>
    </row>
    <row r="7" spans="1:10">
      <c r="C7" s="6"/>
      <c r="D7" s="6"/>
      <c r="E7" s="6"/>
      <c r="F7" s="6"/>
      <c r="G7" s="6"/>
      <c r="H7" s="6"/>
    </row>
    <row r="8" spans="1:10">
      <c r="A8" t="s">
        <v>3</v>
      </c>
      <c r="C8" s="6"/>
      <c r="D8" s="6">
        <f>C13</f>
        <v>116629256.89673881</v>
      </c>
      <c r="E8" s="6">
        <f>D13</f>
        <v>115881128.40879615</v>
      </c>
      <c r="F8" s="6">
        <f>E13</f>
        <v>114411791.74673308</v>
      </c>
      <c r="G8" s="6">
        <f>F13</f>
        <v>112174423.88830559</v>
      </c>
      <c r="H8" s="6">
        <f>G13</f>
        <v>109678980.86191423</v>
      </c>
    </row>
    <row r="9" spans="1:10">
      <c r="A9" t="s">
        <v>4</v>
      </c>
      <c r="C9" s="20"/>
      <c r="D9" s="6">
        <v>-4636519.5130014699</v>
      </c>
      <c r="E9" s="6">
        <v>-4962199.1058351398</v>
      </c>
      <c r="F9" s="6">
        <v>-5016300.5246377503</v>
      </c>
      <c r="G9" s="6">
        <v>-5183893.49797069</v>
      </c>
      <c r="H9" s="6">
        <v>-5230713.8192085596</v>
      </c>
    </row>
    <row r="10" spans="1:10">
      <c r="A10" t="s">
        <v>54</v>
      </c>
      <c r="B10" s="58"/>
      <c r="C10" s="24"/>
      <c r="D10" s="25"/>
      <c r="E10" s="25"/>
      <c r="F10" s="25"/>
      <c r="G10" s="25"/>
      <c r="H10" s="25"/>
    </row>
    <row r="11" spans="1:10">
      <c r="A11" t="s">
        <v>5</v>
      </c>
      <c r="C11" s="32"/>
      <c r="D11" s="6">
        <v>1455586.3666726593</v>
      </c>
      <c r="E11" s="6">
        <f>5082963.73304424-4000000</f>
        <v>1082963.7330442397</v>
      </c>
      <c r="F11" s="6">
        <v>399830.98627033975</v>
      </c>
      <c r="G11" s="6">
        <f>5356815.33152178-5000000</f>
        <v>356815.33152178023</v>
      </c>
      <c r="H11" s="6">
        <v>498641.26957815961</v>
      </c>
      <c r="J11" s="72" t="s">
        <v>125</v>
      </c>
    </row>
    <row r="12" spans="1:10">
      <c r="A12" t="s">
        <v>37</v>
      </c>
      <c r="C12" s="7"/>
      <c r="D12" s="7">
        <f>D46</f>
        <v>2432804.6583861439</v>
      </c>
      <c r="E12" s="7">
        <f>E46</f>
        <v>2409898.7107278472</v>
      </c>
      <c r="F12" s="7">
        <f>F46</f>
        <v>2379101.6799399173</v>
      </c>
      <c r="G12" s="7">
        <f>G46</f>
        <v>2331635.1400575424</v>
      </c>
      <c r="H12" s="7">
        <f>H46</f>
        <v>2281377.6414182475</v>
      </c>
    </row>
    <row r="13" spans="1:10" ht="25.5">
      <c r="A13" t="s">
        <v>6</v>
      </c>
      <c r="C13" s="26">
        <f>117765534-C6-(6500000*0.13)</f>
        <v>116629256.89673881</v>
      </c>
      <c r="D13" s="6">
        <f>SUM(D8:D12)</f>
        <v>115881128.40879615</v>
      </c>
      <c r="E13" s="6">
        <f>SUM(E8:E12)</f>
        <v>114411791.74673308</v>
      </c>
      <c r="F13" s="6">
        <f>SUM(F8:F12)</f>
        <v>112174423.88830559</v>
      </c>
      <c r="G13" s="6">
        <f>SUM(G8:G12)</f>
        <v>109678980.86191423</v>
      </c>
      <c r="H13" s="6">
        <f>SUM(H8:H12)</f>
        <v>107228285.95370208</v>
      </c>
      <c r="J13" s="2" t="s">
        <v>126</v>
      </c>
    </row>
    <row r="14" spans="1:10">
      <c r="C14" s="6"/>
      <c r="D14" s="6"/>
      <c r="E14" s="6"/>
      <c r="F14" s="6"/>
      <c r="G14" s="6"/>
      <c r="H14" s="6"/>
    </row>
    <row r="15" spans="1:10">
      <c r="A15" s="5" t="s">
        <v>7</v>
      </c>
      <c r="B15" s="8"/>
      <c r="C15" s="8">
        <f t="shared" ref="C15:H15" si="0">C6+C13</f>
        <v>116920534</v>
      </c>
      <c r="D15" s="8">
        <f t="shared" si="0"/>
        <v>116178522.33122581</v>
      </c>
      <c r="E15" s="8">
        <f t="shared" si="0"/>
        <v>114715430.94153377</v>
      </c>
      <c r="F15" s="8">
        <f t="shared" si="0"/>
        <v>112484439.50619709</v>
      </c>
      <c r="G15" s="8">
        <f t="shared" si="0"/>
        <v>109995506.80778146</v>
      </c>
      <c r="H15" s="8">
        <f t="shared" si="0"/>
        <v>107551458.94443253</v>
      </c>
    </row>
    <row r="16" spans="1:10">
      <c r="A16" s="5"/>
      <c r="B16" s="8"/>
      <c r="C16" s="28"/>
      <c r="D16" s="28"/>
      <c r="E16" s="28"/>
      <c r="F16" s="28"/>
      <c r="G16" s="28"/>
      <c r="H16" s="28"/>
    </row>
    <row r="17" spans="1:10">
      <c r="A17" s="5" t="s">
        <v>8</v>
      </c>
      <c r="B17" s="8"/>
      <c r="C17" s="8"/>
      <c r="D17" s="8">
        <f>(C15+D15)/2</f>
        <v>116549528.16561291</v>
      </c>
      <c r="E17" s="8">
        <f>(D15+E15)/2</f>
        <v>115446976.63637979</v>
      </c>
      <c r="F17" s="8">
        <f>(E15+F15)/2</f>
        <v>113599935.22386543</v>
      </c>
      <c r="G17" s="8">
        <f>(F15+G15)/2</f>
        <v>111239973.15698928</v>
      </c>
      <c r="H17" s="8">
        <f>(G15+H15)/2</f>
        <v>108773482.87610699</v>
      </c>
      <c r="J17" s="9"/>
    </row>
    <row r="18" spans="1:10">
      <c r="A18" s="5"/>
      <c r="B18" s="8"/>
      <c r="C18" s="28"/>
      <c r="D18" s="28"/>
      <c r="E18" s="28"/>
      <c r="F18" s="28"/>
      <c r="G18" s="28"/>
      <c r="H18" s="28"/>
    </row>
    <row r="19" spans="1:10">
      <c r="A19" t="s">
        <v>9</v>
      </c>
      <c r="B19" s="16">
        <f>Summary!B37</f>
        <v>8.0699999999999994E-2</v>
      </c>
      <c r="C19" s="10"/>
      <c r="D19" s="10">
        <f>$B$19</f>
        <v>8.0699999999999994E-2</v>
      </c>
      <c r="E19" s="10">
        <f>$B$19</f>
        <v>8.0699999999999994E-2</v>
      </c>
      <c r="F19" s="10">
        <f>$B$19</f>
        <v>8.0699999999999994E-2</v>
      </c>
      <c r="G19" s="10">
        <f>$B$19</f>
        <v>8.0699999999999994E-2</v>
      </c>
      <c r="H19" s="10">
        <f>$B$19</f>
        <v>8.0699999999999994E-2</v>
      </c>
    </row>
    <row r="20" spans="1:10">
      <c r="A20" s="5" t="s">
        <v>10</v>
      </c>
      <c r="B20" s="5"/>
      <c r="C20" s="8"/>
      <c r="D20" s="74">
        <f>D17*D19/12*7</f>
        <v>5486569.0383962262</v>
      </c>
      <c r="E20" s="8">
        <f>E17*E19</f>
        <v>9316571.0145558491</v>
      </c>
      <c r="F20" s="8">
        <f>F17*F19</f>
        <v>9167514.7725659404</v>
      </c>
      <c r="G20" s="8">
        <f>G17*G19</f>
        <v>8977065.8337690346</v>
      </c>
      <c r="H20" s="8">
        <f>H17*H19</f>
        <v>8778020.0681018345</v>
      </c>
      <c r="I20" s="8">
        <f>SUM(D20:H20)</f>
        <v>41725740.727388889</v>
      </c>
    </row>
    <row r="21" spans="1:10">
      <c r="C21" s="6"/>
      <c r="D21" s="6"/>
      <c r="E21" s="6"/>
      <c r="F21" s="6"/>
      <c r="G21" s="6"/>
      <c r="H21" s="6"/>
    </row>
    <row r="22" spans="1:10">
      <c r="A22" t="s">
        <v>11</v>
      </c>
      <c r="C22" s="6"/>
      <c r="D22" s="76">
        <f>7664063.23049418/12*7</f>
        <v>4470703.5511216046</v>
      </c>
      <c r="E22" s="26">
        <v>8148670.6939684981</v>
      </c>
      <c r="F22" s="26">
        <v>8347286.5661870837</v>
      </c>
      <c r="G22" s="26">
        <v>8596639.9467868246</v>
      </c>
      <c r="H22" s="26">
        <v>8785691.3343469407</v>
      </c>
      <c r="I22" s="8">
        <f>SUM(D22:H22)</f>
        <v>38348992.092410952</v>
      </c>
    </row>
    <row r="23" spans="1:10">
      <c r="A23" t="s">
        <v>4</v>
      </c>
      <c r="C23" s="26"/>
      <c r="D23" s="76">
        <f>-D9/12*7</f>
        <v>2704636.3825841905</v>
      </c>
      <c r="E23" s="26">
        <f>-E9</f>
        <v>4962199.1058351398</v>
      </c>
      <c r="F23" s="26">
        <f>-F9</f>
        <v>5016300.5246377503</v>
      </c>
      <c r="G23" s="26">
        <f>-G9</f>
        <v>5183893.49797069</v>
      </c>
      <c r="H23" s="26">
        <f>-H9</f>
        <v>5230713.8192085596</v>
      </c>
      <c r="I23" s="8">
        <f>SUM(D23:H23)</f>
        <v>23097743.330236327</v>
      </c>
    </row>
    <row r="24" spans="1:10" ht="12.75" customHeight="1">
      <c r="A24" t="s">
        <v>12</v>
      </c>
      <c r="C24" s="6"/>
      <c r="D24" s="75">
        <f>((D20-D25)+(D23*0.34))*0.28/(1-0.28)</f>
        <v>1542809.3064689755</v>
      </c>
      <c r="E24" s="6">
        <f>((E20-E25)+(E23*0.34))*0.28/(1-0.28)</f>
        <v>3274596.7828120198</v>
      </c>
      <c r="F24" s="6">
        <f t="shared" ref="F24:H24" si="1">((F20-F25)+(F23*0.34))*0.28/(1-0.28)</f>
        <v>3235709.4963285648</v>
      </c>
      <c r="G24" s="6">
        <f t="shared" si="1"/>
        <v>3202212.6713250279</v>
      </c>
      <c r="H24" s="6">
        <f t="shared" si="1"/>
        <v>3150488.0867216033</v>
      </c>
      <c r="I24" s="8">
        <f>SUM(D24:H24)</f>
        <v>14405816.343656192</v>
      </c>
      <c r="J24" s="11" t="s">
        <v>117</v>
      </c>
    </row>
    <row r="25" spans="1:10">
      <c r="A25" s="23" t="s">
        <v>44</v>
      </c>
      <c r="C25" s="6"/>
      <c r="D25" s="6">
        <f>D47+D48+D50</f>
        <v>2438921.4775546286</v>
      </c>
      <c r="E25" s="6">
        <f>E45+E46+E49</f>
        <v>2583326.9833088913</v>
      </c>
      <c r="F25" s="6">
        <f>F45+F46+F49</f>
        <v>2552661.1032407531</v>
      </c>
      <c r="G25" s="6">
        <f>G45+G46+G49</f>
        <v>2505328.4682432851</v>
      </c>
      <c r="H25" s="6">
        <f>H45+H46+H49</f>
        <v>2455207.6864914806</v>
      </c>
      <c r="I25" s="8">
        <f>SUM(D25:H25)</f>
        <v>12535445.718839036</v>
      </c>
      <c r="J25" s="11"/>
    </row>
    <row r="26" spans="1:10">
      <c r="C26" s="6"/>
      <c r="D26" s="6"/>
      <c r="E26" s="6"/>
      <c r="F26" s="6"/>
      <c r="G26" s="6"/>
      <c r="H26" s="6"/>
    </row>
    <row r="27" spans="1:10">
      <c r="A27" s="5" t="s">
        <v>13</v>
      </c>
      <c r="B27" s="8"/>
      <c r="C27" s="8"/>
      <c r="D27" s="74">
        <f t="shared" ref="D27:I27" si="2">D20+D22+D23+D24-D25</f>
        <v>11765796.801016368</v>
      </c>
      <c r="E27" s="8">
        <f t="shared" si="2"/>
        <v>23118710.613862615</v>
      </c>
      <c r="F27" s="8">
        <f t="shared" si="2"/>
        <v>23214150.256478585</v>
      </c>
      <c r="G27" s="8">
        <f t="shared" si="2"/>
        <v>23454483.48160829</v>
      </c>
      <c r="H27" s="8">
        <f t="shared" si="2"/>
        <v>23489705.621887453</v>
      </c>
      <c r="I27" s="8">
        <f t="shared" si="2"/>
        <v>105042846.77485333</v>
      </c>
    </row>
    <row r="28" spans="1:10">
      <c r="C28" s="6"/>
      <c r="D28" s="6"/>
      <c r="E28" s="6"/>
      <c r="F28" s="6"/>
      <c r="G28" s="6"/>
      <c r="H28" s="6"/>
    </row>
    <row r="29" spans="1:10">
      <c r="A29" t="s">
        <v>55</v>
      </c>
      <c r="C29" s="6">
        <f>(C53*C63)+(C54*C64)+(C55*C65)</f>
        <v>14507737.74</v>
      </c>
      <c r="D29" s="75">
        <f>(D53*D63/12*7)+(D54*D64/12*7)+(D55*D65/12*7)</f>
        <v>8162846.2328198291</v>
      </c>
      <c r="E29" s="6">
        <f>(E53*E63)+(E54*E64)+(E55*E65)</f>
        <v>15942302.010599317</v>
      </c>
      <c r="F29" s="6">
        <f>(F53*F63)+(F54*F64)+(F55*F65)</f>
        <v>17536532.209801733</v>
      </c>
      <c r="G29" s="6">
        <f>(G53*G63)+(G54*G64)+(G55*G65)</f>
        <v>18062628.171684656</v>
      </c>
      <c r="H29" s="6">
        <f>(H53*H63)+(H54*H64)+(H55*H65)</f>
        <v>18604507.028034065</v>
      </c>
      <c r="I29" s="13">
        <f>SUM(D29:H29)</f>
        <v>78308815.652939603</v>
      </c>
    </row>
    <row r="30" spans="1:10">
      <c r="A30" t="s">
        <v>56</v>
      </c>
      <c r="C30" s="6">
        <f>C58*C66</f>
        <v>3422800.96</v>
      </c>
      <c r="D30" s="75">
        <f>D58*D66/12*7</f>
        <v>1831095.4258333333</v>
      </c>
      <c r="E30" s="6">
        <f>E58*E66</f>
        <v>3139020.73</v>
      </c>
      <c r="F30" s="6">
        <f>F58*F66</f>
        <v>3386463.1399999997</v>
      </c>
      <c r="G30" s="6">
        <f>G58*G66</f>
        <v>3576246.5300000003</v>
      </c>
      <c r="H30" s="6">
        <f>H58*H66</f>
        <v>3765133.3000000007</v>
      </c>
      <c r="I30" s="13">
        <f>SUM(D30:H30)</f>
        <v>15697959.125833334</v>
      </c>
    </row>
    <row r="31" spans="1:10">
      <c r="A31" t="s">
        <v>14</v>
      </c>
      <c r="C31" s="31"/>
      <c r="D31" s="31"/>
      <c r="E31" s="31"/>
      <c r="F31" s="31"/>
      <c r="G31" s="31"/>
      <c r="H31" s="31"/>
      <c r="I31" s="13"/>
    </row>
    <row r="32" spans="1:10">
      <c r="A32" s="5" t="s">
        <v>15</v>
      </c>
      <c r="B32" s="5"/>
      <c r="C32" s="8">
        <f t="shared" ref="C32:H32" si="3">SUM(C29:C31)</f>
        <v>17930538.699999999</v>
      </c>
      <c r="D32" s="74">
        <f t="shared" si="3"/>
        <v>9993941.6586531624</v>
      </c>
      <c r="E32" s="8">
        <f t="shared" si="3"/>
        <v>19081322.740599316</v>
      </c>
      <c r="F32" s="8">
        <f t="shared" si="3"/>
        <v>20922995.349801734</v>
      </c>
      <c r="G32" s="8">
        <f t="shared" si="3"/>
        <v>21638874.701684657</v>
      </c>
      <c r="H32" s="8">
        <f t="shared" si="3"/>
        <v>22369640.328034066</v>
      </c>
      <c r="I32" s="8">
        <f>SUM(D32:H32)</f>
        <v>94006774.77877292</v>
      </c>
    </row>
    <row r="33" spans="1:10">
      <c r="A33" s="5"/>
      <c r="B33" s="5"/>
      <c r="C33" s="8"/>
      <c r="D33" s="64"/>
      <c r="E33" s="64"/>
      <c r="F33" s="64"/>
      <c r="G33" s="64"/>
      <c r="H33" s="64"/>
      <c r="I33" s="65"/>
    </row>
    <row r="34" spans="1:10">
      <c r="A34" s="5" t="s">
        <v>50</v>
      </c>
      <c r="B34" s="8"/>
      <c r="C34" s="8"/>
      <c r="D34" s="8">
        <f>D32-D27</f>
        <v>-1771855.1423632056</v>
      </c>
      <c r="E34" s="8">
        <f>E32-E27</f>
        <v>-4037387.8732632995</v>
      </c>
      <c r="F34" s="8">
        <f>F32-F27</f>
        <v>-2291154.9066768512</v>
      </c>
      <c r="G34" s="8">
        <f>G32-G27</f>
        <v>-1815608.7799236327</v>
      </c>
      <c r="H34" s="8">
        <f>H32-H27</f>
        <v>-1120065.2938533872</v>
      </c>
      <c r="J34" s="14"/>
    </row>
    <row r="35" spans="1:10">
      <c r="A35" s="5"/>
      <c r="B35" s="43"/>
      <c r="C35" s="8"/>
      <c r="D35" s="8"/>
      <c r="E35" s="8"/>
      <c r="F35" s="8"/>
      <c r="G35" s="8"/>
      <c r="H35" s="8"/>
      <c r="J35" s="14"/>
    </row>
    <row r="36" spans="1:10">
      <c r="A36" s="5" t="s">
        <v>16</v>
      </c>
      <c r="C36" s="6"/>
      <c r="D36" s="6">
        <f>D34*(1-0.28)</f>
        <v>-1275735.7025015079</v>
      </c>
      <c r="E36" s="6">
        <f>E34*(1-0.28)</f>
        <v>-2906919.2687495756</v>
      </c>
      <c r="F36" s="6">
        <f>F34*(1-0.28)</f>
        <v>-1649631.5328073327</v>
      </c>
      <c r="G36" s="6">
        <f>G34*(1-0.28)</f>
        <v>-1307238.3215450156</v>
      </c>
      <c r="H36" s="6">
        <f>H34*(1-0.28)</f>
        <v>-806447.01157443877</v>
      </c>
    </row>
    <row r="37" spans="1:10">
      <c r="A37" s="5"/>
      <c r="C37" s="6"/>
      <c r="D37" s="6"/>
      <c r="E37" s="6"/>
      <c r="F37" s="6"/>
      <c r="G37" s="6"/>
      <c r="H37" s="6"/>
    </row>
    <row r="38" spans="1:10">
      <c r="A38" s="23" t="s">
        <v>103</v>
      </c>
      <c r="C38" s="6"/>
      <c r="D38" s="79">
        <f>8.5/12</f>
        <v>0.70833333333333337</v>
      </c>
      <c r="E38" s="43">
        <v>1.5</v>
      </c>
      <c r="F38" s="43">
        <v>2.5</v>
      </c>
      <c r="G38" s="43">
        <v>3.5</v>
      </c>
      <c r="H38" s="43">
        <v>4.5</v>
      </c>
    </row>
    <row r="39" spans="1:10" s="5" customFormat="1">
      <c r="A39" s="5" t="s">
        <v>51</v>
      </c>
      <c r="B39" s="45">
        <f>B19</f>
        <v>8.0699999999999994E-2</v>
      </c>
      <c r="C39" s="8"/>
      <c r="D39" s="8">
        <f>D36/(1+$B$39)^D38</f>
        <v>-1207497.4644934328</v>
      </c>
      <c r="E39" s="8">
        <f t="shared" ref="E39:H39" si="4">E36/(1+$B$39)^E38</f>
        <v>-2587469.5253319922</v>
      </c>
      <c r="F39" s="8">
        <f t="shared" si="4"/>
        <v>-1358701.5502213729</v>
      </c>
      <c r="G39" s="8">
        <f t="shared" si="4"/>
        <v>-996292.22363805445</v>
      </c>
      <c r="H39" s="8">
        <f t="shared" si="4"/>
        <v>-568725.43989456119</v>
      </c>
      <c r="I39" s="15">
        <f>SUM(D39:H39)</f>
        <v>-6718686.2035794128</v>
      </c>
      <c r="J39" s="27"/>
    </row>
    <row r="40" spans="1:10">
      <c r="A40" s="12"/>
      <c r="B40" s="44"/>
      <c r="C40" s="6"/>
      <c r="E40" s="6"/>
      <c r="F40" s="6"/>
      <c r="G40" s="6"/>
      <c r="H40" s="6"/>
      <c r="J40" s="9"/>
    </row>
    <row r="42" spans="1:10">
      <c r="D42" s="10"/>
      <c r="E42" s="10"/>
      <c r="F42" s="10"/>
      <c r="G42" s="10"/>
      <c r="H42" s="10"/>
    </row>
    <row r="43" spans="1:10">
      <c r="A43" t="s">
        <v>33</v>
      </c>
      <c r="C43" s="10"/>
      <c r="D43" s="17">
        <v>2.1000000000000001E-2</v>
      </c>
      <c r="E43" s="17">
        <f>D43</f>
        <v>2.1000000000000001E-2</v>
      </c>
      <c r="F43" s="17">
        <f>E43</f>
        <v>2.1000000000000001E-2</v>
      </c>
      <c r="G43" s="17">
        <f>F43</f>
        <v>2.1000000000000001E-2</v>
      </c>
      <c r="H43" s="17">
        <f>G43</f>
        <v>2.1000000000000001E-2</v>
      </c>
    </row>
    <row r="44" spans="1:10">
      <c r="C44" s="10"/>
      <c r="D44" s="17"/>
      <c r="E44" s="17"/>
      <c r="F44" s="17"/>
      <c r="G44" s="17"/>
      <c r="H44" s="17"/>
    </row>
    <row r="45" spans="1:10">
      <c r="A45" t="s">
        <v>34</v>
      </c>
      <c r="C45" s="10"/>
      <c r="D45" s="19">
        <f>C6*D43</f>
        <v>6116.8191684849535</v>
      </c>
      <c r="E45" s="19">
        <f>D6*E43</f>
        <v>6245.2723710231376</v>
      </c>
      <c r="F45" s="19">
        <f>E6*F43</f>
        <v>6376.4230908146237</v>
      </c>
      <c r="G45" s="19">
        <f>F6*G43</f>
        <v>6510.3279757217306</v>
      </c>
      <c r="H45" s="19">
        <f>G6*H43</f>
        <v>6647.0448632118869</v>
      </c>
      <c r="I45" s="21">
        <f>SUM(D45:H45)</f>
        <v>31895.887469256333</v>
      </c>
    </row>
    <row r="46" spans="1:10" ht="25.5">
      <c r="A46" t="s">
        <v>35</v>
      </c>
      <c r="C46" s="10"/>
      <c r="D46" s="19">
        <f>D8*(0.9933*D43)</f>
        <v>2432804.6583861439</v>
      </c>
      <c r="E46" s="19">
        <f>E8*(0.9903*E43)</f>
        <v>2409898.7107278472</v>
      </c>
      <c r="F46" s="19">
        <f>F8*(0.9902*F43)</f>
        <v>2379101.6799399173</v>
      </c>
      <c r="G46" s="19">
        <f>G8*(0.9898*G43)</f>
        <v>2331635.1400575424</v>
      </c>
      <c r="H46" s="19">
        <f>H8*(0.9905*H43)</f>
        <v>2281377.6414182475</v>
      </c>
      <c r="I46" s="21">
        <f>SUM(D46:H46)</f>
        <v>11834817.830529697</v>
      </c>
      <c r="J46" s="2" t="s">
        <v>104</v>
      </c>
    </row>
    <row r="47" spans="1:10">
      <c r="A47" t="s">
        <v>111</v>
      </c>
      <c r="C47" s="10"/>
      <c r="D47" s="19">
        <f>SUM(D45:D46)</f>
        <v>2438921.4775546286</v>
      </c>
      <c r="E47" s="19">
        <f t="shared" ref="E47:H47" si="5">SUM(E45:E46)</f>
        <v>2416143.9830988701</v>
      </c>
      <c r="F47" s="19">
        <f t="shared" si="5"/>
        <v>2385478.1030307319</v>
      </c>
      <c r="G47" s="19">
        <f t="shared" si="5"/>
        <v>2338145.4680332639</v>
      </c>
      <c r="H47" s="19">
        <f t="shared" si="5"/>
        <v>2288024.6862814594</v>
      </c>
      <c r="I47" s="21"/>
    </row>
    <row r="48" spans="1:10">
      <c r="C48" s="10"/>
      <c r="D48" s="62"/>
      <c r="E48" s="62"/>
      <c r="F48" s="62"/>
      <c r="G48" s="62"/>
      <c r="H48" s="62"/>
      <c r="I48" s="21"/>
    </row>
    <row r="49" spans="1:10">
      <c r="A49" t="s">
        <v>36</v>
      </c>
      <c r="B49" s="33">
        <v>666283.53533129313</v>
      </c>
      <c r="C49" s="10">
        <f>B39</f>
        <v>8.0699999999999994E-2</v>
      </c>
      <c r="D49" s="19">
        <f>-PMT($C$49,5,$B$49,0)</f>
        <v>167183.00021002124</v>
      </c>
      <c r="E49" s="19">
        <f>-PMT($C$49,5,$B$49,0)</f>
        <v>167183.00021002124</v>
      </c>
      <c r="F49" s="19">
        <f>-PMT($C$49,5,$B$49,0)</f>
        <v>167183.00021002124</v>
      </c>
      <c r="G49" s="19">
        <f>-PMT($C$49,5,$B$49,0)</f>
        <v>167183.00021002124</v>
      </c>
      <c r="H49" s="19">
        <f>-PMT($C$49,5,$B$49,0)</f>
        <v>167183.00021002124</v>
      </c>
      <c r="I49" s="21">
        <f>SUM(D49:H49)</f>
        <v>835915.00105010625</v>
      </c>
      <c r="J49" s="2" t="s">
        <v>118</v>
      </c>
    </row>
    <row r="50" spans="1:10">
      <c r="B50" s="33"/>
      <c r="C50" s="10"/>
      <c r="D50" s="19"/>
      <c r="E50" s="19"/>
      <c r="F50" s="19"/>
      <c r="G50" s="19"/>
      <c r="H50" s="19"/>
      <c r="I50" s="21"/>
    </row>
    <row r="51" spans="1:10">
      <c r="A51" t="s">
        <v>52</v>
      </c>
      <c r="B51" s="19"/>
      <c r="C51" s="10"/>
      <c r="D51" s="19">
        <f>D47+D49</f>
        <v>2606104.4777646498</v>
      </c>
      <c r="E51" s="19">
        <f t="shared" ref="E51:H51" si="6">E47+E49</f>
        <v>2583326.9833088913</v>
      </c>
      <c r="F51" s="19">
        <f t="shared" si="6"/>
        <v>2552661.1032407531</v>
      </c>
      <c r="G51" s="19">
        <f t="shared" si="6"/>
        <v>2505328.4682432851</v>
      </c>
      <c r="H51" s="19">
        <f t="shared" si="6"/>
        <v>2455207.6864914806</v>
      </c>
      <c r="I51" s="21">
        <f>SUM(D51:H51)</f>
        <v>12702628.719049061</v>
      </c>
    </row>
    <row r="52" spans="1:10">
      <c r="C52" s="26"/>
      <c r="D52" s="26"/>
      <c r="E52" s="26"/>
      <c r="F52" s="26"/>
      <c r="G52" s="26"/>
      <c r="H52" s="26"/>
    </row>
    <row r="53" spans="1:10">
      <c r="A53" t="s">
        <v>62</v>
      </c>
      <c r="C53" s="33">
        <f>0.93*1405380</f>
        <v>1307003.4000000001</v>
      </c>
      <c r="D53" s="21">
        <f>C53*(1+D60)</f>
        <v>1260671.2328679273</v>
      </c>
      <c r="E53" s="21">
        <f>D53*(1+E60)</f>
        <v>1355221.5753569752</v>
      </c>
      <c r="F53" s="21">
        <f>E53*(1+F60)</f>
        <v>1490743.7327347691</v>
      </c>
      <c r="G53" s="21">
        <f>F53*(1+G60)</f>
        <v>1535466.0443418315</v>
      </c>
      <c r="H53" s="21">
        <f>G53*(1+H60)</f>
        <v>1581530.0266240786</v>
      </c>
      <c r="J53" s="2" t="s">
        <v>26</v>
      </c>
    </row>
    <row r="54" spans="1:10">
      <c r="A54" t="s">
        <v>63</v>
      </c>
      <c r="C54" s="33">
        <f>0.0556*1405380</f>
        <v>78139.127999999997</v>
      </c>
      <c r="D54" s="21">
        <f>C54*(1+D60)</f>
        <v>75369.161878985746</v>
      </c>
      <c r="E54" s="21">
        <f>D54*(1+E60)</f>
        <v>81021.849021341724</v>
      </c>
      <c r="F54" s="21">
        <f>E54*(1+F60)</f>
        <v>89124.033914035637</v>
      </c>
      <c r="G54" s="21">
        <f>F54*(1+G60)</f>
        <v>91797.7549090385</v>
      </c>
      <c r="H54" s="21">
        <f>G54*(1+H60)</f>
        <v>94551.687613224451</v>
      </c>
    </row>
    <row r="55" spans="1:10">
      <c r="A55" t="s">
        <v>64</v>
      </c>
      <c r="C55" s="33">
        <f>0.0144*1405380</f>
        <v>20237.471999999998</v>
      </c>
      <c r="D55" s="21">
        <f>C55*(1+D60)</f>
        <v>19520.070702471126</v>
      </c>
      <c r="E55" s="21">
        <f>D55*(1+E60)</f>
        <v>20984.076005527353</v>
      </c>
      <c r="F55" s="21">
        <f>E55*(1+F60)</f>
        <v>23082.48360363513</v>
      </c>
      <c r="G55" s="21">
        <f>F55*(1+G60)</f>
        <v>23774.958105938029</v>
      </c>
      <c r="H55" s="21">
        <f>G55*(1+H60)</f>
        <v>24488.206863856693</v>
      </c>
    </row>
    <row r="56" spans="1:10">
      <c r="A56" t="s">
        <v>112</v>
      </c>
      <c r="C56" s="33">
        <f>SUM(C53:C55)</f>
        <v>1405380.0000000002</v>
      </c>
      <c r="D56" s="33">
        <f t="shared" ref="D56:H56" si="7">SUM(D53:D55)</f>
        <v>1355560.4654493842</v>
      </c>
      <c r="E56" s="33">
        <f t="shared" si="7"/>
        <v>1457227.5003838441</v>
      </c>
      <c r="F56" s="33">
        <f t="shared" si="7"/>
        <v>1602950.2502524399</v>
      </c>
      <c r="G56" s="33">
        <f t="shared" si="7"/>
        <v>1651038.7573568081</v>
      </c>
      <c r="H56" s="33">
        <f t="shared" si="7"/>
        <v>1700569.9211011596</v>
      </c>
      <c r="I56" s="20">
        <f>(H56-C56)/C56</f>
        <v>0.21004277924914214</v>
      </c>
    </row>
    <row r="57" spans="1:10">
      <c r="C57" s="33"/>
      <c r="D57" s="21"/>
      <c r="E57" s="21"/>
      <c r="F57" s="21"/>
      <c r="G57" s="21"/>
      <c r="H57" s="21"/>
    </row>
    <row r="58" spans="1:10">
      <c r="A58" t="s">
        <v>95</v>
      </c>
      <c r="C58" s="6">
        <v>969632</v>
      </c>
      <c r="D58" s="21">
        <f t="shared" ref="D58:H58" si="8">C58*(1+D61)</f>
        <v>889241</v>
      </c>
      <c r="E58" s="21">
        <f t="shared" si="8"/>
        <v>889241</v>
      </c>
      <c r="F58" s="21">
        <f t="shared" si="8"/>
        <v>959338</v>
      </c>
      <c r="G58" s="21">
        <f t="shared" si="8"/>
        <v>1013101.0000000001</v>
      </c>
      <c r="H58" s="21">
        <f t="shared" si="8"/>
        <v>1066610.0000000002</v>
      </c>
      <c r="I58" s="20">
        <f>(H58-C58)/C58</f>
        <v>0.10001526352265626</v>
      </c>
      <c r="J58" s="2" t="s">
        <v>26</v>
      </c>
    </row>
    <row r="59" spans="1:10">
      <c r="C59" s="19"/>
      <c r="D59" s="21"/>
      <c r="E59" s="21"/>
      <c r="F59" s="21"/>
      <c r="G59" s="21"/>
      <c r="H59" s="21"/>
    </row>
    <row r="60" spans="1:10">
      <c r="A60" t="s">
        <v>57</v>
      </c>
      <c r="C60" s="10"/>
      <c r="D60" s="20">
        <v>-3.544915578036982E-2</v>
      </c>
      <c r="E60" s="20">
        <v>7.5000000019000632E-2</v>
      </c>
      <c r="F60" s="20">
        <v>9.9999999883484972E-2</v>
      </c>
      <c r="G60" s="20">
        <v>2.9999999748460508E-2</v>
      </c>
      <c r="H60" s="20">
        <v>3.0000000620002115E-2</v>
      </c>
      <c r="J60" s="2" t="s">
        <v>26</v>
      </c>
    </row>
    <row r="61" spans="1:10">
      <c r="A61" t="s">
        <v>58</v>
      </c>
      <c r="C61" s="10"/>
      <c r="D61" s="20">
        <v>-8.2908773637833735E-2</v>
      </c>
      <c r="E61" s="20">
        <v>0</v>
      </c>
      <c r="F61" s="20">
        <v>7.882789929839043E-2</v>
      </c>
      <c r="G61" s="20">
        <v>5.6041770470887216E-2</v>
      </c>
      <c r="H61" s="20">
        <v>5.2817043907764379E-2</v>
      </c>
      <c r="J61" s="2" t="s">
        <v>26</v>
      </c>
    </row>
    <row r="62" spans="1:10">
      <c r="C62" s="10"/>
      <c r="D62" s="20"/>
      <c r="E62" s="20"/>
      <c r="F62" s="20"/>
      <c r="G62" s="20"/>
      <c r="H62" s="20"/>
    </row>
    <row r="63" spans="1:10">
      <c r="A63" t="s">
        <v>65</v>
      </c>
      <c r="C63" s="22">
        <v>11.1</v>
      </c>
      <c r="D63" s="22">
        <f>C63*(1+D68)</f>
        <v>11.1</v>
      </c>
      <c r="E63" s="22">
        <f>D63*(1+E68)</f>
        <v>11.1</v>
      </c>
      <c r="F63" s="22">
        <f>E63*(1+F68)</f>
        <v>11.1</v>
      </c>
      <c r="G63" s="22">
        <f>F63*(1+G68)</f>
        <v>11.1</v>
      </c>
      <c r="H63" s="22">
        <f>G63*(1+H68)</f>
        <v>11.1</v>
      </c>
    </row>
    <row r="64" spans="1:10">
      <c r="A64" t="s">
        <v>66</v>
      </c>
      <c r="C64" s="22">
        <v>0</v>
      </c>
      <c r="D64" s="22">
        <f>C64*(1+D68)</f>
        <v>0</v>
      </c>
      <c r="E64" s="22">
        <f>E63</f>
        <v>11.1</v>
      </c>
      <c r="F64" s="22">
        <f>E64*(1+F68)</f>
        <v>11.1</v>
      </c>
      <c r="G64" s="22">
        <f>F64*(1+G68)</f>
        <v>11.1</v>
      </c>
      <c r="H64" s="22">
        <f>G64*(1+H68)</f>
        <v>11.1</v>
      </c>
    </row>
    <row r="65" spans="1:10">
      <c r="A65" t="s">
        <v>67</v>
      </c>
      <c r="C65" s="22">
        <v>0</v>
      </c>
      <c r="D65" s="22">
        <f t="shared" ref="D65:H66" si="9">C65*(1+D68)</f>
        <v>0</v>
      </c>
      <c r="E65" s="22">
        <f t="shared" si="9"/>
        <v>0</v>
      </c>
      <c r="F65" s="22">
        <f t="shared" si="9"/>
        <v>0</v>
      </c>
      <c r="G65" s="22">
        <f t="shared" si="9"/>
        <v>0</v>
      </c>
      <c r="H65" s="22">
        <f t="shared" si="9"/>
        <v>0</v>
      </c>
    </row>
    <row r="66" spans="1:10">
      <c r="A66" t="s">
        <v>59</v>
      </c>
      <c r="C66" s="22">
        <v>3.53</v>
      </c>
      <c r="D66" s="22">
        <f t="shared" si="9"/>
        <v>3.53</v>
      </c>
      <c r="E66" s="22">
        <f t="shared" si="9"/>
        <v>3.53</v>
      </c>
      <c r="F66" s="22">
        <f t="shared" si="9"/>
        <v>3.53</v>
      </c>
      <c r="G66" s="22">
        <f t="shared" si="9"/>
        <v>3.53</v>
      </c>
      <c r="H66" s="22">
        <f t="shared" si="9"/>
        <v>3.53</v>
      </c>
    </row>
    <row r="67" spans="1:10">
      <c r="C67" s="22"/>
      <c r="D67" s="22"/>
      <c r="E67" s="22"/>
      <c r="F67" s="22"/>
      <c r="G67" s="22"/>
      <c r="H67" s="22"/>
    </row>
    <row r="68" spans="1:10">
      <c r="A68" t="s">
        <v>60</v>
      </c>
      <c r="C68" s="10"/>
      <c r="D68" s="18">
        <v>0</v>
      </c>
      <c r="E68" s="18">
        <v>0</v>
      </c>
      <c r="F68" s="18">
        <v>0</v>
      </c>
      <c r="G68" s="18">
        <v>0</v>
      </c>
      <c r="H68" s="18">
        <v>0</v>
      </c>
      <c r="J68" s="2" t="s">
        <v>26</v>
      </c>
    </row>
    <row r="69" spans="1:10">
      <c r="A69" t="s">
        <v>61</v>
      </c>
      <c r="D69" s="18">
        <v>0</v>
      </c>
      <c r="E69" s="18">
        <v>0</v>
      </c>
      <c r="F69" s="18">
        <v>0</v>
      </c>
      <c r="G69" s="18">
        <v>0</v>
      </c>
      <c r="H69" s="18">
        <v>0</v>
      </c>
      <c r="J69" s="2" t="s">
        <v>26</v>
      </c>
    </row>
    <row r="70" spans="1:10">
      <c r="D70" s="10"/>
      <c r="E70" s="10"/>
      <c r="F70" s="10"/>
      <c r="G70" s="10"/>
      <c r="H70" s="10"/>
    </row>
    <row r="71" spans="1:10">
      <c r="C71" s="63"/>
      <c r="D71" s="63"/>
      <c r="E71" s="63"/>
      <c r="F71" s="63"/>
      <c r="G71" s="63"/>
      <c r="H71" s="63"/>
    </row>
    <row r="72" spans="1:10">
      <c r="D72" s="6"/>
      <c r="E72" s="6"/>
      <c r="F72" s="6"/>
      <c r="G72" s="6"/>
      <c r="H72" s="6"/>
    </row>
    <row r="73" spans="1:10">
      <c r="A73" s="5" t="s">
        <v>49</v>
      </c>
    </row>
    <row r="74" spans="1:10">
      <c r="A74" t="s">
        <v>38</v>
      </c>
      <c r="C74" s="26"/>
      <c r="D74" s="60">
        <v>4470703.5511216056</v>
      </c>
      <c r="E74" s="58">
        <v>8148670.6939684981</v>
      </c>
      <c r="F74" s="58">
        <v>8347286.5661870837</v>
      </c>
      <c r="G74" s="58">
        <v>8596639.9467868246</v>
      </c>
      <c r="H74" s="58">
        <v>8785691.3343469407</v>
      </c>
      <c r="I74" s="26">
        <f t="shared" ref="I74:I79" si="10">SUM(D74:H74)</f>
        <v>38348992.092410952</v>
      </c>
    </row>
    <row r="75" spans="1:10">
      <c r="A75" t="s">
        <v>39</v>
      </c>
      <c r="C75" s="26"/>
      <c r="D75" s="60">
        <v>2704636.3825841895</v>
      </c>
      <c r="E75" s="58">
        <v>4962199.1058351351</v>
      </c>
      <c r="F75" s="58">
        <v>5016300.5246377513</v>
      </c>
      <c r="G75" s="58">
        <v>5183893.4979706854</v>
      </c>
      <c r="H75" s="58">
        <v>5230713.8192085577</v>
      </c>
      <c r="I75" s="26">
        <f t="shared" si="10"/>
        <v>23097743.330236319</v>
      </c>
    </row>
    <row r="76" spans="1:10">
      <c r="A76" t="s">
        <v>40</v>
      </c>
      <c r="C76" s="26"/>
      <c r="D76" s="60">
        <v>9282677.7901503071</v>
      </c>
      <c r="E76" s="58">
        <v>16037217.067903452</v>
      </c>
      <c r="F76" s="58">
        <v>16066048.772492383</v>
      </c>
      <c r="G76" s="58">
        <v>16098922.653771423</v>
      </c>
      <c r="H76" s="58">
        <v>16124684.890022876</v>
      </c>
      <c r="I76" s="26">
        <f t="shared" si="10"/>
        <v>73609551.174340442</v>
      </c>
    </row>
    <row r="77" spans="1:10">
      <c r="A77" t="s">
        <v>41</v>
      </c>
      <c r="C77" s="26"/>
      <c r="D77" s="60">
        <v>-1432985.9449847762</v>
      </c>
      <c r="E77" s="58">
        <v>-2434116.9982054019</v>
      </c>
      <c r="F77" s="58">
        <v>-2487014.1687286892</v>
      </c>
      <c r="G77" s="58">
        <v>-2441604.1354419375</v>
      </c>
      <c r="H77" s="58">
        <v>-2497681.2922379356</v>
      </c>
      <c r="I77" s="26">
        <f t="shared" si="10"/>
        <v>-11293402.539598739</v>
      </c>
    </row>
    <row r="78" spans="1:10">
      <c r="A78" t="s">
        <v>42</v>
      </c>
      <c r="C78" s="26"/>
      <c r="D78" s="58">
        <v>-192002.51084017698</v>
      </c>
      <c r="E78" s="58">
        <v>-192002.51084017698</v>
      </c>
      <c r="F78" s="58">
        <v>-192002.51084017698</v>
      </c>
      <c r="G78" s="58">
        <v>-192002.51084017698</v>
      </c>
      <c r="H78" s="58">
        <v>-192002.51084017698</v>
      </c>
      <c r="I78" s="26">
        <f t="shared" si="10"/>
        <v>-960012.55420088489</v>
      </c>
    </row>
    <row r="79" spans="1:10">
      <c r="A79" t="s">
        <v>43</v>
      </c>
      <c r="C79" s="26"/>
      <c r="D79" s="61">
        <v>14833029.268031148</v>
      </c>
      <c r="E79" s="61">
        <v>26521967.358661506</v>
      </c>
      <c r="F79" s="61">
        <v>26750619.18374835</v>
      </c>
      <c r="G79" s="61">
        <v>27245849.452246819</v>
      </c>
      <c r="H79" s="61">
        <v>27451406.240500256</v>
      </c>
      <c r="I79" s="26">
        <f t="shared" si="10"/>
        <v>122802871.50318807</v>
      </c>
    </row>
    <row r="80" spans="1:10">
      <c r="D80" s="6"/>
    </row>
    <row r="81" spans="1:9">
      <c r="C81" s="6"/>
      <c r="D81" s="8"/>
      <c r="E81" s="8"/>
      <c r="F81" s="8"/>
      <c r="G81" s="8"/>
      <c r="H81" s="8"/>
    </row>
    <row r="82" spans="1:9">
      <c r="C82" s="6"/>
      <c r="D82" s="29"/>
      <c r="E82" s="29"/>
      <c r="F82" s="29"/>
      <c r="G82" s="29"/>
      <c r="H82" s="29"/>
      <c r="I82" s="6"/>
    </row>
    <row r="83" spans="1:9">
      <c r="C83" s="6"/>
      <c r="D83" s="29"/>
      <c r="E83" s="29"/>
      <c r="F83" s="29"/>
      <c r="G83" s="29"/>
      <c r="H83" s="29"/>
      <c r="I83" s="6"/>
    </row>
    <row r="84" spans="1:9">
      <c r="C84" s="6"/>
      <c r="D84" s="46"/>
      <c r="E84" s="46"/>
      <c r="F84" s="46"/>
      <c r="G84" s="46"/>
      <c r="H84" s="46"/>
      <c r="I84" s="6"/>
    </row>
    <row r="85" spans="1:9">
      <c r="A85" s="5"/>
    </row>
    <row r="87" spans="1:9">
      <c r="D87" s="51"/>
      <c r="E87" s="51"/>
      <c r="F87" s="51"/>
      <c r="G87" s="51"/>
      <c r="H87" s="51"/>
    </row>
    <row r="89" spans="1:9">
      <c r="D89" s="50"/>
      <c r="E89" s="50"/>
      <c r="F89" s="50"/>
      <c r="G89" s="50"/>
      <c r="H89" s="50"/>
    </row>
    <row r="96" spans="1:9">
      <c r="A96" s="5"/>
    </row>
    <row r="109" spans="1:8">
      <c r="A109" s="5"/>
    </row>
    <row r="110" spans="1:8">
      <c r="D110" s="10"/>
      <c r="E110" s="10"/>
      <c r="F110" s="10"/>
      <c r="G110" s="10"/>
      <c r="H110" s="10"/>
    </row>
    <row r="111" spans="1:8">
      <c r="D111" s="6"/>
      <c r="E111" s="6"/>
      <c r="F111" s="6"/>
      <c r="G111" s="6"/>
      <c r="H111" s="6"/>
    </row>
    <row r="112" spans="1:8">
      <c r="D112" s="6"/>
      <c r="E112" s="6"/>
      <c r="F112" s="6"/>
      <c r="G112" s="6"/>
      <c r="H112" s="6"/>
    </row>
    <row r="114" spans="4:8">
      <c r="D114" s="6"/>
      <c r="E114" s="6"/>
      <c r="F114" s="6"/>
      <c r="G114" s="6"/>
      <c r="H114" s="6"/>
    </row>
    <row r="116" spans="4:8">
      <c r="D116" s="6"/>
      <c r="E116" s="6"/>
      <c r="F116" s="6"/>
      <c r="G116" s="6"/>
      <c r="H116" s="6"/>
    </row>
    <row r="117" spans="4:8">
      <c r="D117" s="6"/>
    </row>
    <row r="118" spans="4:8">
      <c r="D118" s="6"/>
    </row>
    <row r="119" spans="4:8">
      <c r="D119" s="6"/>
    </row>
  </sheetData>
  <printOptions gridLines="1"/>
  <pageMargins left="0.74803149606299213" right="0.74803149606299213" top="0.98425196850393704" bottom="0.98425196850393704" header="0.51181102362204722" footer="0.51181102362204722"/>
  <pageSetup paperSize="9" scale="45" orientation="landscape" verticalDpi="0" r:id="rId1"/>
  <headerFooter alignWithMargins="0">
    <oddFooter>&amp;LBARNZ ALTERNATIVE REVENUE MODELLING&amp;C &amp;RSEPTMBER 2012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7"/>
  <sheetViews>
    <sheetView zoomScaleNormal="100" workbookViewId="0">
      <pane ySplit="4" topLeftCell="A25" activePane="bottomLeft" state="frozenSplit"/>
      <selection pane="bottomLeft" activeCell="D37" sqref="D37"/>
    </sheetView>
  </sheetViews>
  <sheetFormatPr defaultRowHeight="12.75"/>
  <cols>
    <col min="1" max="1" width="40.42578125" customWidth="1"/>
    <col min="2" max="9" width="13.7109375" customWidth="1"/>
    <col min="10" max="10" width="115.42578125" style="2" customWidth="1"/>
  </cols>
  <sheetData>
    <row r="1" spans="1:10" ht="18">
      <c r="A1" s="1" t="s">
        <v>48</v>
      </c>
    </row>
    <row r="3" spans="1:10" ht="18">
      <c r="A3" s="1" t="s">
        <v>73</v>
      </c>
      <c r="B3" s="3"/>
      <c r="C3" s="3"/>
      <c r="D3" s="73" t="s">
        <v>108</v>
      </c>
    </row>
    <row r="4" spans="1:10">
      <c r="B4" s="4" t="s">
        <v>102</v>
      </c>
      <c r="C4" s="4">
        <v>2012</v>
      </c>
      <c r="D4" s="4">
        <v>2013</v>
      </c>
      <c r="E4" s="4">
        <v>2014</v>
      </c>
      <c r="F4" s="4">
        <v>2015</v>
      </c>
      <c r="G4" s="4">
        <v>2016</v>
      </c>
      <c r="H4" s="4">
        <v>2017</v>
      </c>
      <c r="I4" s="4" t="s">
        <v>1</v>
      </c>
      <c r="J4" s="27" t="s">
        <v>46</v>
      </c>
    </row>
    <row r="5" spans="1:10">
      <c r="A5" s="5" t="s">
        <v>2</v>
      </c>
    </row>
    <row r="6" spans="1:10">
      <c r="A6" t="s">
        <v>121</v>
      </c>
      <c r="C6" s="6">
        <v>179071.04473881173</v>
      </c>
      <c r="D6" s="6">
        <f>C6+D46</f>
        <v>182831.53667832678</v>
      </c>
      <c r="E6" s="6">
        <f>D6+E46</f>
        <v>186670.99894857165</v>
      </c>
      <c r="F6" s="6">
        <f>E6+F46</f>
        <v>190591.08992649167</v>
      </c>
      <c r="G6" s="6">
        <f>F6+G46</f>
        <v>194593.50281494798</v>
      </c>
      <c r="H6" s="6">
        <f>G6+H46</f>
        <v>198679.96637406189</v>
      </c>
    </row>
    <row r="7" spans="1:10">
      <c r="C7" s="6"/>
      <c r="D7" s="6"/>
      <c r="E7" s="6"/>
      <c r="F7" s="6"/>
      <c r="G7" s="6"/>
      <c r="H7" s="6"/>
    </row>
    <row r="8" spans="1:10">
      <c r="A8" t="s">
        <v>3</v>
      </c>
      <c r="C8" s="6"/>
      <c r="D8" s="6">
        <f>C13</f>
        <v>83263058.955261186</v>
      </c>
      <c r="E8" s="6">
        <f>D13</f>
        <v>82059575.812174544</v>
      </c>
      <c r="F8" s="6">
        <f>E13</f>
        <v>80581507.410451815</v>
      </c>
      <c r="G8" s="6">
        <f>F13</f>
        <v>79049467.08121796</v>
      </c>
      <c r="H8" s="6">
        <f>G13</f>
        <v>77603192.527538225</v>
      </c>
    </row>
    <row r="9" spans="1:10">
      <c r="A9" t="s">
        <v>4</v>
      </c>
      <c r="C9" s="20"/>
      <c r="D9" s="6">
        <v>-3307179.40276562</v>
      </c>
      <c r="E9" s="6">
        <v>-3407622.8566976399</v>
      </c>
      <c r="F9" s="6">
        <v>-3448014.2993790298</v>
      </c>
      <c r="G9" s="6">
        <v>-3367142.6625093799</v>
      </c>
      <c r="H9" s="6">
        <v>-3392853.8043529298</v>
      </c>
    </row>
    <row r="10" spans="1:10">
      <c r="A10" t="s">
        <v>54</v>
      </c>
      <c r="C10" s="24"/>
      <c r="D10" s="25"/>
      <c r="E10" s="25"/>
      <c r="F10" s="25"/>
      <c r="G10" s="25"/>
      <c r="H10" s="25"/>
    </row>
    <row r="11" spans="1:10">
      <c r="A11" t="s">
        <v>5</v>
      </c>
      <c r="C11" s="32"/>
      <c r="D11" s="7">
        <v>388393.98214164667</v>
      </c>
      <c r="E11" s="7">
        <v>237925.02045846064</v>
      </c>
      <c r="F11" s="7">
        <v>252868.35500234106</v>
      </c>
      <c r="G11" s="7">
        <v>287389.92106336867</v>
      </c>
      <c r="H11" s="7">
        <v>328840.17272838665</v>
      </c>
      <c r="J11" s="24"/>
    </row>
    <row r="12" spans="1:10">
      <c r="A12" t="s">
        <v>37</v>
      </c>
      <c r="C12" s="7"/>
      <c r="D12" s="7">
        <f>D47</f>
        <v>1715302.2775373359</v>
      </c>
      <c r="E12" s="7">
        <f>E47</f>
        <v>1691629.4345164441</v>
      </c>
      <c r="F12" s="7">
        <f>F47</f>
        <v>1663105.6151428332</v>
      </c>
      <c r="G12" s="7">
        <f>G47</f>
        <v>1633478.1877662882</v>
      </c>
      <c r="H12" s="7">
        <f>H47</f>
        <v>1605222.0374321283</v>
      </c>
    </row>
    <row r="13" spans="1:10">
      <c r="A13" t="s">
        <v>6</v>
      </c>
      <c r="C13" s="26">
        <f>83442130-C6</f>
        <v>83263058.955261186</v>
      </c>
      <c r="D13" s="6">
        <f>SUM(D8:D12)</f>
        <v>82059575.812174544</v>
      </c>
      <c r="E13" s="6">
        <f>SUM(E8:E12)</f>
        <v>80581507.410451815</v>
      </c>
      <c r="F13" s="6">
        <f>SUM(F8:F12)</f>
        <v>79049467.08121796</v>
      </c>
      <c r="G13" s="6">
        <f>SUM(G8:G12)</f>
        <v>77603192.527538225</v>
      </c>
      <c r="H13" s="6">
        <f>SUM(H8:H12)</f>
        <v>76144400.933345824</v>
      </c>
    </row>
    <row r="14" spans="1:10">
      <c r="C14" s="6"/>
      <c r="D14" s="6"/>
      <c r="E14" s="6"/>
      <c r="F14" s="6"/>
      <c r="G14" s="6"/>
      <c r="H14" s="6"/>
    </row>
    <row r="15" spans="1:10">
      <c r="A15" s="5" t="s">
        <v>7</v>
      </c>
      <c r="B15" s="8"/>
      <c r="C15" s="8">
        <f t="shared" ref="C15:H15" si="0">C6+C13</f>
        <v>83442130</v>
      </c>
      <c r="D15" s="8">
        <f t="shared" si="0"/>
        <v>82242407.348852873</v>
      </c>
      <c r="E15" s="8">
        <f t="shared" si="0"/>
        <v>80768178.409400389</v>
      </c>
      <c r="F15" s="8">
        <f t="shared" si="0"/>
        <v>79240058.171144456</v>
      </c>
      <c r="G15" s="8">
        <f t="shared" si="0"/>
        <v>77797786.030353174</v>
      </c>
      <c r="H15" s="8">
        <f t="shared" si="0"/>
        <v>76343080.899719879</v>
      </c>
    </row>
    <row r="16" spans="1:10">
      <c r="A16" s="5"/>
      <c r="B16" s="8"/>
      <c r="C16" s="28"/>
      <c r="D16" s="28"/>
      <c r="E16" s="28"/>
      <c r="F16" s="28"/>
      <c r="G16" s="28"/>
      <c r="H16" s="28"/>
      <c r="I16" s="26"/>
    </row>
    <row r="17" spans="1:10">
      <c r="A17" s="5" t="s">
        <v>8</v>
      </c>
      <c r="B17" s="8"/>
      <c r="C17" s="8"/>
      <c r="D17" s="8">
        <f>(C15+D15)/2</f>
        <v>82842268.674426436</v>
      </c>
      <c r="E17" s="8">
        <f>(D15+E15)/2</f>
        <v>81505292.879126638</v>
      </c>
      <c r="F17" s="8">
        <f>(E15+F15)/2</f>
        <v>80004118.290272415</v>
      </c>
      <c r="G17" s="8">
        <f>(F15+G15)/2</f>
        <v>78518922.100748807</v>
      </c>
      <c r="H17" s="8">
        <f>(G15+H15)/2</f>
        <v>77070433.465036526</v>
      </c>
      <c r="J17" s="9"/>
    </row>
    <row r="18" spans="1:10">
      <c r="A18" s="5"/>
      <c r="B18" s="8"/>
      <c r="C18" s="8"/>
      <c r="D18" s="28"/>
      <c r="E18" s="28"/>
      <c r="F18" s="28"/>
      <c r="G18" s="28"/>
      <c r="H18" s="28"/>
    </row>
    <row r="19" spans="1:10">
      <c r="A19" t="s">
        <v>9</v>
      </c>
      <c r="B19" s="16">
        <v>9.7589999999999996E-2</v>
      </c>
      <c r="C19" s="10"/>
      <c r="D19" s="10">
        <f>$B$19</f>
        <v>9.7589999999999996E-2</v>
      </c>
      <c r="E19" s="10">
        <f>$B$19</f>
        <v>9.7589999999999996E-2</v>
      </c>
      <c r="F19" s="10">
        <f>$B$19</f>
        <v>9.7589999999999996E-2</v>
      </c>
      <c r="G19" s="10">
        <f>$B$19</f>
        <v>9.7589999999999996E-2</v>
      </c>
      <c r="H19" s="10">
        <f>$B$19</f>
        <v>9.7589999999999996E-2</v>
      </c>
    </row>
    <row r="20" spans="1:10">
      <c r="A20" s="5" t="s">
        <v>10</v>
      </c>
      <c r="B20" s="5"/>
      <c r="C20" s="8"/>
      <c r="D20" s="74">
        <f>D17*D19/12*7</f>
        <v>4716003.2499634102</v>
      </c>
      <c r="E20" s="8">
        <f>E17*E19</f>
        <v>7954101.5320739681</v>
      </c>
      <c r="F20" s="8">
        <f>F17*F19</f>
        <v>7807601.9039476849</v>
      </c>
      <c r="G20" s="8">
        <f>G17*G19</f>
        <v>7662661.6078120759</v>
      </c>
      <c r="H20" s="8">
        <f>H17*H19</f>
        <v>7521303.6018529143</v>
      </c>
      <c r="I20" s="8">
        <f>SUM(D20:H20)</f>
        <v>35661671.895650052</v>
      </c>
    </row>
    <row r="21" spans="1:10">
      <c r="C21" s="6"/>
      <c r="D21" s="6"/>
      <c r="E21" s="6"/>
      <c r="F21" s="6"/>
      <c r="G21" s="6"/>
      <c r="H21" s="6"/>
    </row>
    <row r="22" spans="1:10">
      <c r="A22" t="s">
        <v>11</v>
      </c>
      <c r="C22" s="6"/>
      <c r="D22" s="75">
        <f>5220469.45116094/12*7</f>
        <v>3045273.8465105486</v>
      </c>
      <c r="E22" s="6">
        <v>5606859.3076499514</v>
      </c>
      <c r="F22" s="6">
        <v>5720293.1791709363</v>
      </c>
      <c r="G22" s="6">
        <v>5840385.538979969</v>
      </c>
      <c r="H22" s="6">
        <v>5962827.7111880165</v>
      </c>
      <c r="I22" s="8">
        <f>SUM(D22:H22)</f>
        <v>26175639.583499424</v>
      </c>
    </row>
    <row r="23" spans="1:10">
      <c r="A23" t="s">
        <v>4</v>
      </c>
      <c r="C23" s="26"/>
      <c r="D23" s="76">
        <f>-D9/12*7</f>
        <v>1929187.9849466118</v>
      </c>
      <c r="E23" s="26">
        <f>-E9</f>
        <v>3407622.8566976399</v>
      </c>
      <c r="F23" s="26">
        <f>-F9</f>
        <v>3448014.2993790298</v>
      </c>
      <c r="G23" s="26">
        <f>-G9</f>
        <v>3367142.6625093799</v>
      </c>
      <c r="H23" s="26">
        <f>-H9</f>
        <v>3392853.8043529298</v>
      </c>
      <c r="I23" s="8">
        <f>SUM(D23:H23)</f>
        <v>15544821.607885592</v>
      </c>
    </row>
    <row r="24" spans="1:10">
      <c r="A24" t="s">
        <v>12</v>
      </c>
      <c r="C24" s="6"/>
      <c r="D24" s="75">
        <f>(D20)*0.28/(1-0.28)</f>
        <v>1834001.2638746595</v>
      </c>
      <c r="E24" s="6">
        <f>(E20)*0.28/(1-0.28)</f>
        <v>3093261.7069176547</v>
      </c>
      <c r="F24" s="6">
        <f>(F20)*0.28/(1-0.28)</f>
        <v>3036289.6293129888</v>
      </c>
      <c r="G24" s="6">
        <f>(G20)*0.28/(1-0.28)</f>
        <v>2979923.9585935855</v>
      </c>
      <c r="H24" s="6">
        <f>(H20)*0.28/(1-0.28)</f>
        <v>2924951.4007205786</v>
      </c>
      <c r="I24" s="8">
        <f>SUM(D24:H24)</f>
        <v>13868427.959419467</v>
      </c>
      <c r="J24" s="11" t="s">
        <v>45</v>
      </c>
    </row>
    <row r="25" spans="1:10">
      <c r="A25" s="23" t="s">
        <v>44</v>
      </c>
      <c r="C25" s="6"/>
      <c r="D25" s="75">
        <f>((D46+D47)/12*7)+D48</f>
        <v>1775674.7497241502</v>
      </c>
      <c r="E25" s="6">
        <f>E46+E47+E48</f>
        <v>2468357.0309826764</v>
      </c>
      <c r="F25" s="6">
        <f>F46+F47+F48</f>
        <v>2439913.8403167403</v>
      </c>
      <c r="G25" s="6">
        <f>G46+G47+G48</f>
        <v>2410368.7348507317</v>
      </c>
      <c r="H25" s="6">
        <f>H46+H47+H48</f>
        <v>2382196.6351872296</v>
      </c>
      <c r="I25" s="8">
        <f>SUM(D25:H25)</f>
        <v>11476510.991061529</v>
      </c>
      <c r="J25" s="11"/>
    </row>
    <row r="26" spans="1:10">
      <c r="C26" s="6"/>
      <c r="D26" s="6"/>
      <c r="E26" s="6"/>
      <c r="F26" s="6"/>
      <c r="G26" s="6"/>
      <c r="H26" s="6"/>
    </row>
    <row r="27" spans="1:10">
      <c r="A27" s="5" t="s">
        <v>13</v>
      </c>
      <c r="B27" s="8"/>
      <c r="C27" s="8"/>
      <c r="D27" s="74">
        <f t="shared" ref="D27:I27" si="1">D20+D22+D23+D24-D25</f>
        <v>9748791.5955710802</v>
      </c>
      <c r="E27" s="8">
        <f t="shared" si="1"/>
        <v>17593488.372356538</v>
      </c>
      <c r="F27" s="8">
        <f t="shared" si="1"/>
        <v>17572285.171493899</v>
      </c>
      <c r="G27" s="8">
        <f t="shared" si="1"/>
        <v>17439745.033044279</v>
      </c>
      <c r="H27" s="8">
        <f t="shared" si="1"/>
        <v>17419739.882927205</v>
      </c>
      <c r="I27" s="8">
        <f t="shared" si="1"/>
        <v>79774050.055392995</v>
      </c>
    </row>
    <row r="28" spans="1:10">
      <c r="A28" s="5"/>
      <c r="B28" s="8"/>
      <c r="C28" s="8"/>
      <c r="D28" s="8"/>
      <c r="E28" s="8"/>
      <c r="F28" s="8"/>
      <c r="G28" s="8"/>
      <c r="H28" s="8"/>
      <c r="I28" s="8"/>
    </row>
    <row r="29" spans="1:10" ht="12.75" customHeight="1">
      <c r="A29" t="s">
        <v>68</v>
      </c>
      <c r="C29" s="6">
        <f>C52*C54</f>
        <v>2826750.96</v>
      </c>
      <c r="D29" s="75">
        <f>D52*D54/12*7</f>
        <v>6167982.8270970015</v>
      </c>
      <c r="E29" s="6">
        <f>E52*E54</f>
        <v>11708222.276904661</v>
      </c>
      <c r="F29" s="6">
        <f>F52*F54</f>
        <v>14349711.189675048</v>
      </c>
      <c r="G29" s="6">
        <f>G52*G54</f>
        <v>16721041.412725924</v>
      </c>
      <c r="H29" s="6">
        <f>H52*H54</f>
        <v>17040539.324547987</v>
      </c>
      <c r="I29" s="13">
        <f>SUM(D29:H29)</f>
        <v>65987497.030950621</v>
      </c>
    </row>
    <row r="30" spans="1:10">
      <c r="A30" t="s">
        <v>14</v>
      </c>
      <c r="C30" s="41">
        <v>0</v>
      </c>
      <c r="D30" s="78">
        <v>0</v>
      </c>
      <c r="E30" s="41">
        <v>0</v>
      </c>
      <c r="F30" s="41">
        <v>0</v>
      </c>
      <c r="G30" s="41">
        <v>0</v>
      </c>
      <c r="H30" s="41">
        <v>0</v>
      </c>
      <c r="I30" s="13"/>
    </row>
    <row r="31" spans="1:10">
      <c r="A31" s="5" t="s">
        <v>15</v>
      </c>
      <c r="B31" s="5"/>
      <c r="C31" s="8">
        <f t="shared" ref="C31:H31" si="2">SUM(C29:C30)</f>
        <v>2826750.96</v>
      </c>
      <c r="D31" s="74">
        <f t="shared" si="2"/>
        <v>6167982.8270970015</v>
      </c>
      <c r="E31" s="8">
        <f t="shared" si="2"/>
        <v>11708222.276904661</v>
      </c>
      <c r="F31" s="8">
        <f t="shared" si="2"/>
        <v>14349711.189675048</v>
      </c>
      <c r="G31" s="8">
        <f t="shared" si="2"/>
        <v>16721041.412725924</v>
      </c>
      <c r="H31" s="8">
        <f t="shared" si="2"/>
        <v>17040539.324547987</v>
      </c>
      <c r="I31" s="8">
        <f>SUM(D31:H31)</f>
        <v>65987497.030950621</v>
      </c>
    </row>
    <row r="32" spans="1:10">
      <c r="A32" s="5"/>
      <c r="B32" s="5"/>
      <c r="C32" s="8"/>
      <c r="D32" s="70"/>
      <c r="E32" s="70"/>
      <c r="F32" s="70"/>
      <c r="G32" s="70"/>
      <c r="H32" s="70"/>
      <c r="I32" s="42"/>
    </row>
    <row r="33" spans="1:10">
      <c r="A33" s="5" t="s">
        <v>50</v>
      </c>
      <c r="B33" s="8"/>
      <c r="C33" s="8"/>
      <c r="D33" s="8">
        <f>D31-D27</f>
        <v>-3580808.7684740787</v>
      </c>
      <c r="E33" s="8">
        <f>E31-E27</f>
        <v>-5885266.0954518765</v>
      </c>
      <c r="F33" s="8">
        <f>F31-F27</f>
        <v>-3222573.9818188511</v>
      </c>
      <c r="G33" s="8">
        <f>G31-G27</f>
        <v>-718703.62031835504</v>
      </c>
      <c r="H33" s="8">
        <f>H31-H27</f>
        <v>-379200.55837921798</v>
      </c>
      <c r="J33" s="14"/>
    </row>
    <row r="34" spans="1:10">
      <c r="A34" s="5"/>
      <c r="B34" s="8"/>
      <c r="C34" s="8"/>
      <c r="D34" s="8"/>
      <c r="E34" s="8"/>
      <c r="F34" s="8"/>
      <c r="G34" s="8"/>
      <c r="H34" s="8"/>
      <c r="J34" s="14"/>
    </row>
    <row r="35" spans="1:10">
      <c r="A35" s="5" t="s">
        <v>16</v>
      </c>
      <c r="C35" s="6"/>
      <c r="D35" s="6">
        <f>D33*(1-0.28)</f>
        <v>-2578182.3133013365</v>
      </c>
      <c r="E35" s="6">
        <f>E33*(1-0.28)</f>
        <v>-4237391.5887253508</v>
      </c>
      <c r="F35" s="6">
        <f>F33*(1-0.28)</f>
        <v>-2320253.2669095728</v>
      </c>
      <c r="G35" s="6">
        <f>G33*(1-0.28)</f>
        <v>-517466.60662921559</v>
      </c>
      <c r="H35" s="6">
        <f>H33*(1-0.28)</f>
        <v>-273024.40203303692</v>
      </c>
    </row>
    <row r="36" spans="1:10">
      <c r="A36" s="5"/>
      <c r="C36" s="6"/>
      <c r="D36" s="6"/>
      <c r="E36" s="6"/>
      <c r="F36" s="6"/>
      <c r="G36" s="6"/>
      <c r="H36" s="6"/>
    </row>
    <row r="37" spans="1:10">
      <c r="A37" s="23" t="s">
        <v>103</v>
      </c>
      <c r="C37" s="6"/>
      <c r="D37" s="79">
        <f>8.5/12</f>
        <v>0.70833333333333337</v>
      </c>
      <c r="E37" s="43">
        <v>1.5</v>
      </c>
      <c r="F37" s="43">
        <v>2.5</v>
      </c>
      <c r="G37" s="43">
        <v>3.5</v>
      </c>
      <c r="H37" s="43">
        <v>4.5</v>
      </c>
    </row>
    <row r="38" spans="1:10" s="5" customFormat="1">
      <c r="A38" s="5" t="s">
        <v>17</v>
      </c>
      <c r="B38" s="45">
        <f>B19</f>
        <v>9.7589999999999996E-2</v>
      </c>
      <c r="C38" s="8"/>
      <c r="D38" s="8">
        <f>D35/(1+$B$38)^D37</f>
        <v>-2413617.9358646423</v>
      </c>
      <c r="E38" s="8">
        <f t="shared" ref="E38:H38" si="3">E35/(1+$B$38)^E37</f>
        <v>-3685007.5992706912</v>
      </c>
      <c r="F38" s="8">
        <f t="shared" si="3"/>
        <v>-1838378.9513173292</v>
      </c>
      <c r="G38" s="8">
        <f t="shared" si="3"/>
        <v>-373544.05885407847</v>
      </c>
      <c r="H38" s="8">
        <f t="shared" si="3"/>
        <v>-179564.64344382589</v>
      </c>
      <c r="I38" s="15">
        <f>SUM(D38:H38)</f>
        <v>-8490113.1887505669</v>
      </c>
      <c r="J38" s="27"/>
    </row>
    <row r="39" spans="1:10">
      <c r="A39" s="12"/>
      <c r="B39" s="10"/>
      <c r="C39" s="6"/>
      <c r="D39" s="8"/>
      <c r="E39" s="8"/>
      <c r="F39" s="8"/>
      <c r="G39" s="8"/>
      <c r="H39" s="8"/>
      <c r="J39" s="9"/>
    </row>
    <row r="41" spans="1:10">
      <c r="D41" s="10"/>
      <c r="E41" s="10"/>
      <c r="F41" s="10"/>
      <c r="G41" s="10"/>
      <c r="H41" s="10"/>
    </row>
    <row r="42" spans="1:10">
      <c r="A42" t="s">
        <v>9</v>
      </c>
      <c r="C42" s="10"/>
      <c r="D42" s="16">
        <v>9.7799999999999998E-2</v>
      </c>
      <c r="E42" s="17">
        <f>D42</f>
        <v>9.7799999999999998E-2</v>
      </c>
      <c r="F42" s="17">
        <f>E42</f>
        <v>9.7799999999999998E-2</v>
      </c>
      <c r="G42" s="17">
        <f>F42</f>
        <v>9.7799999999999998E-2</v>
      </c>
      <c r="H42" s="17">
        <f>G42</f>
        <v>9.7799999999999998E-2</v>
      </c>
    </row>
    <row r="43" spans="1:10">
      <c r="C43" s="10"/>
      <c r="D43" s="17"/>
      <c r="E43" s="17"/>
      <c r="F43" s="17"/>
      <c r="G43" s="17"/>
      <c r="H43" s="17"/>
    </row>
    <row r="44" spans="1:10">
      <c r="A44" t="s">
        <v>33</v>
      </c>
      <c r="C44" s="10"/>
      <c r="D44" s="17">
        <v>2.1000000000000001E-2</v>
      </c>
      <c r="E44" s="17">
        <f>D44</f>
        <v>2.1000000000000001E-2</v>
      </c>
      <c r="F44" s="17">
        <f>E44</f>
        <v>2.1000000000000001E-2</v>
      </c>
      <c r="G44" s="17">
        <f>F44</f>
        <v>2.1000000000000001E-2</v>
      </c>
      <c r="H44" s="17">
        <f>G44</f>
        <v>2.1000000000000001E-2</v>
      </c>
    </row>
    <row r="45" spans="1:10">
      <c r="C45" s="10"/>
      <c r="D45" s="17"/>
      <c r="E45" s="17"/>
      <c r="F45" s="17"/>
      <c r="G45" s="17"/>
      <c r="H45" s="17"/>
    </row>
    <row r="46" spans="1:10">
      <c r="A46" t="s">
        <v>34</v>
      </c>
      <c r="C46" s="10"/>
      <c r="D46" s="19">
        <f>C6*D44</f>
        <v>3760.4919395150464</v>
      </c>
      <c r="E46" s="19">
        <f>D6*E44</f>
        <v>3839.4622702448628</v>
      </c>
      <c r="F46" s="19">
        <f>E6*F44</f>
        <v>3920.0909779200051</v>
      </c>
      <c r="G46" s="19">
        <f>F6*G44</f>
        <v>4002.4128884563252</v>
      </c>
      <c r="H46" s="19">
        <f>G6*H44</f>
        <v>4086.4635591139076</v>
      </c>
      <c r="I46" s="21">
        <f>SUM(D46:H46)</f>
        <v>19608.921635250146</v>
      </c>
    </row>
    <row r="47" spans="1:10" ht="25.5">
      <c r="A47" t="s">
        <v>35</v>
      </c>
      <c r="C47" s="10"/>
      <c r="D47" s="19">
        <f>D8*(0.981*D44)</f>
        <v>1715302.2775373359</v>
      </c>
      <c r="E47" s="19">
        <f>E8*(0.98165*E44)</f>
        <v>1691629.4345164441</v>
      </c>
      <c r="F47" s="19">
        <f>F8*(0.9828*F44)</f>
        <v>1663105.6151428332</v>
      </c>
      <c r="G47" s="19">
        <f>G8*(0.984*G44)</f>
        <v>1633478.1877662882</v>
      </c>
      <c r="H47" s="19">
        <f>H8*(0.985*H44)</f>
        <v>1605222.0374321283</v>
      </c>
      <c r="I47" s="21">
        <f>SUM(D47:H47)</f>
        <v>8308737.5523950299</v>
      </c>
      <c r="J47" s="2" t="s">
        <v>105</v>
      </c>
    </row>
    <row r="48" spans="1:10">
      <c r="A48" t="s">
        <v>36</v>
      </c>
      <c r="B48" s="19">
        <v>2682068.490731956</v>
      </c>
      <c r="C48" s="10">
        <f>B19/(1-0.28)</f>
        <v>0.13554166666666667</v>
      </c>
      <c r="D48" s="19">
        <f>-PMT($C$48,5,$B$48,0)</f>
        <v>772888.13419598725</v>
      </c>
      <c r="E48" s="19">
        <f>-PMT($C$48,5,$B$48,0)</f>
        <v>772888.13419598725</v>
      </c>
      <c r="F48" s="19">
        <f>-PMT($C$48,5,$B$48,0)</f>
        <v>772888.13419598725</v>
      </c>
      <c r="G48" s="19">
        <f>-PMT($C$48,5,$B$48,0)</f>
        <v>772888.13419598725</v>
      </c>
      <c r="H48" s="19">
        <f>-PMT($C$48,5,$B$48,0)</f>
        <v>772888.13419598725</v>
      </c>
      <c r="I48" s="21">
        <f>SUM(D48:H48)</f>
        <v>3864440.6709799361</v>
      </c>
      <c r="J48" s="2" t="s">
        <v>47</v>
      </c>
    </row>
    <row r="49" spans="1:10">
      <c r="B49" s="19"/>
      <c r="C49" s="10"/>
      <c r="D49" s="19"/>
      <c r="E49" s="19"/>
      <c r="F49" s="19"/>
      <c r="G49" s="19"/>
      <c r="H49" s="19"/>
    </row>
    <row r="50" spans="1:10">
      <c r="A50" t="s">
        <v>52</v>
      </c>
      <c r="B50" s="19"/>
      <c r="C50" s="10"/>
      <c r="D50" s="19">
        <f>SUM(D46:D48)</f>
        <v>2491950.9036728381</v>
      </c>
      <c r="E50" s="19">
        <f>SUM(E46:E48)</f>
        <v>2468357.0309826764</v>
      </c>
      <c r="F50" s="19">
        <f>SUM(F46:F48)</f>
        <v>2439913.8403167403</v>
      </c>
      <c r="G50" s="19">
        <f>SUM(G46:G48)</f>
        <v>2410368.7348507317</v>
      </c>
      <c r="H50" s="19">
        <f>SUM(H46:H48)</f>
        <v>2382196.6351872296</v>
      </c>
      <c r="I50" s="21">
        <f>SUM(D50:H50)</f>
        <v>12192787.145010216</v>
      </c>
    </row>
    <row r="51" spans="1:10">
      <c r="B51" s="49"/>
      <c r="C51" s="26"/>
      <c r="D51" s="26"/>
      <c r="E51" s="26"/>
      <c r="F51" s="26"/>
      <c r="G51" s="26"/>
      <c r="H51" s="26"/>
      <c r="I51" s="26"/>
    </row>
    <row r="52" spans="1:10">
      <c r="A52" t="s">
        <v>69</v>
      </c>
      <c r="C52" s="6">
        <v>1744908</v>
      </c>
      <c r="D52" s="21">
        <f>C52*(1+D53)</f>
        <v>1823073</v>
      </c>
      <c r="E52" s="21">
        <f>D52*(1+E53)</f>
        <v>1977165</v>
      </c>
      <c r="F52" s="21">
        <f>E52*(1+F53)</f>
        <v>1995809.9999999998</v>
      </c>
      <c r="G52" s="21">
        <f>F52*(1+G53)</f>
        <v>2006431.9999999998</v>
      </c>
      <c r="H52" s="21">
        <f>G52*(1+H53)</f>
        <v>2002712.9999999998</v>
      </c>
      <c r="I52" s="20">
        <f>(H52-C52)/C52</f>
        <v>0.14774704454332249</v>
      </c>
      <c r="J52" s="2" t="s">
        <v>26</v>
      </c>
    </row>
    <row r="53" spans="1:10">
      <c r="A53" t="s">
        <v>70</v>
      </c>
      <c r="C53" s="10"/>
      <c r="D53" s="17">
        <v>4.4796058015666156E-2</v>
      </c>
      <c r="E53" s="17">
        <v>8.4523219860093368E-2</v>
      </c>
      <c r="F53" s="17">
        <v>9.430168954032668E-3</v>
      </c>
      <c r="G53" s="17">
        <v>5.3221499040489824E-3</v>
      </c>
      <c r="H53" s="17">
        <v>-1.8535390185164511E-3</v>
      </c>
      <c r="J53" s="2" t="s">
        <v>26</v>
      </c>
    </row>
    <row r="54" spans="1:10">
      <c r="A54" t="s">
        <v>71</v>
      </c>
      <c r="C54" s="22">
        <v>1.62</v>
      </c>
      <c r="D54" s="22">
        <f>C54*(1+D55)</f>
        <v>5.7999240000000007</v>
      </c>
      <c r="E54" s="22">
        <f>D54*(1+E55)</f>
        <v>5.9217224040000005</v>
      </c>
      <c r="F54" s="69">
        <f>E54*(1+F55)</f>
        <v>7.1899184740406401</v>
      </c>
      <c r="G54" s="69">
        <f>F54*(1+G55)</f>
        <v>8.333719464564922</v>
      </c>
      <c r="H54" s="69">
        <f>G54*(1+H55)</f>
        <v>8.508727573320785</v>
      </c>
    </row>
    <row r="55" spans="1:10">
      <c r="A55" t="s">
        <v>72</v>
      </c>
      <c r="D55" s="18">
        <v>2.5802</v>
      </c>
      <c r="E55" s="18">
        <v>2.1000000000000001E-2</v>
      </c>
      <c r="F55" s="18">
        <v>0.21415999999999999</v>
      </c>
      <c r="G55" s="18">
        <v>0.159084</v>
      </c>
      <c r="H55" s="18">
        <v>2.1000000000000001E-2</v>
      </c>
      <c r="J55" s="2" t="s">
        <v>26</v>
      </c>
    </row>
    <row r="56" spans="1:10">
      <c r="D56" s="10"/>
      <c r="E56" s="10"/>
      <c r="F56" s="10"/>
      <c r="G56" s="10"/>
      <c r="H56" s="10"/>
    </row>
    <row r="57" spans="1:10">
      <c r="C57" s="6"/>
      <c r="D57" s="6"/>
      <c r="F57" s="67"/>
      <c r="G57" s="68"/>
      <c r="H57" s="66"/>
    </row>
    <row r="58" spans="1:10">
      <c r="D58" s="6"/>
    </row>
    <row r="59" spans="1:10">
      <c r="A59" s="5" t="s">
        <v>98</v>
      </c>
      <c r="C59" s="26"/>
      <c r="D59" s="52"/>
      <c r="E59" s="52"/>
      <c r="F59" s="52"/>
      <c r="G59" s="52"/>
      <c r="H59" s="52"/>
      <c r="I59" s="26"/>
    </row>
    <row r="60" spans="1:10">
      <c r="A60" t="s">
        <v>38</v>
      </c>
      <c r="C60" s="26"/>
      <c r="D60" s="60">
        <v>3045273.8465105486</v>
      </c>
      <c r="E60" s="58">
        <v>5606859.3076499514</v>
      </c>
      <c r="F60" s="58">
        <v>5720293.1791709363</v>
      </c>
      <c r="G60" s="58">
        <v>5840385.538979969</v>
      </c>
      <c r="H60" s="58">
        <v>5962827.7111880165</v>
      </c>
    </row>
    <row r="61" spans="1:10">
      <c r="A61" t="s">
        <v>39</v>
      </c>
      <c r="C61" s="26"/>
      <c r="D61" s="60">
        <v>1929187.984946612</v>
      </c>
      <c r="E61" s="58">
        <v>3407622.8566976432</v>
      </c>
      <c r="F61" s="58">
        <v>3448014.2993790321</v>
      </c>
      <c r="G61" s="58">
        <v>3367142.6625093808</v>
      </c>
      <c r="H61" s="58">
        <v>3392853.8043529298</v>
      </c>
      <c r="I61" s="26"/>
    </row>
    <row r="62" spans="1:10">
      <c r="A62" t="s">
        <v>40</v>
      </c>
      <c r="C62" s="26"/>
      <c r="D62" s="60">
        <v>6550054.3551437631</v>
      </c>
      <c r="E62" s="58">
        <v>11047448.483343208</v>
      </c>
      <c r="F62" s="58">
        <v>10843971.920831002</v>
      </c>
      <c r="G62" s="58">
        <v>10642660.975120515</v>
      </c>
      <c r="H62" s="58">
        <v>10446337.491701961</v>
      </c>
    </row>
    <row r="63" spans="1:10">
      <c r="A63" t="s">
        <v>41</v>
      </c>
      <c r="C63" s="26"/>
      <c r="D63" s="60">
        <v>-1002808.6151460855</v>
      </c>
      <c r="E63" s="58">
        <v>-1695447.9909860103</v>
      </c>
      <c r="F63" s="58">
        <v>-1666997.0982626916</v>
      </c>
      <c r="G63" s="58">
        <v>-1637457.6578185123</v>
      </c>
      <c r="H63" s="58">
        <v>-1609457.2920561568</v>
      </c>
    </row>
    <row r="64" spans="1:10">
      <c r="A64" t="s">
        <v>42</v>
      </c>
      <c r="C64" s="26"/>
      <c r="D64" s="58">
        <v>-772890.00426793715</v>
      </c>
      <c r="E64" s="58">
        <v>-772890.00426793715</v>
      </c>
      <c r="F64" s="58">
        <v>-772890.00426793715</v>
      </c>
      <c r="G64" s="58">
        <v>-772890.00426793715</v>
      </c>
      <c r="H64" s="58">
        <v>-772890.00426793715</v>
      </c>
    </row>
    <row r="65" spans="1:9">
      <c r="A65" t="s">
        <v>43</v>
      </c>
      <c r="D65" s="61">
        <v>9748817.5671869013</v>
      </c>
      <c r="E65" s="61">
        <v>17593592.652436852</v>
      </c>
      <c r="F65" s="61">
        <v>17572392.296850342</v>
      </c>
      <c r="G65" s="61">
        <v>17439841.514523417</v>
      </c>
      <c r="H65" s="61">
        <v>17419671.71091881</v>
      </c>
      <c r="I65" s="26">
        <f>SUM(D65:H65)</f>
        <v>79774315.741916329</v>
      </c>
    </row>
    <row r="67" spans="1:9">
      <c r="D67" s="26"/>
      <c r="E67" s="26"/>
      <c r="F67" s="26"/>
      <c r="G67" s="26"/>
      <c r="H67" s="26"/>
    </row>
    <row r="68" spans="1:9">
      <c r="D68" s="26"/>
      <c r="E68" s="26"/>
      <c r="F68" s="26"/>
      <c r="G68" s="26"/>
      <c r="H68" s="26"/>
    </row>
    <row r="69" spans="1:9">
      <c r="D69" s="26"/>
      <c r="E69" s="26"/>
      <c r="F69" s="26"/>
      <c r="G69" s="26"/>
      <c r="H69" s="26"/>
    </row>
    <row r="74" spans="1:9">
      <c r="A74" s="5"/>
    </row>
    <row r="87" spans="1:8">
      <c r="A87" s="5"/>
    </row>
    <row r="88" spans="1:8">
      <c r="D88" s="10"/>
      <c r="E88" s="10"/>
      <c r="F88" s="10"/>
      <c r="G88" s="10"/>
      <c r="H88" s="10"/>
    </row>
    <row r="89" spans="1:8">
      <c r="D89" s="6"/>
      <c r="E89" s="6"/>
      <c r="F89" s="6"/>
      <c r="G89" s="6"/>
      <c r="H89" s="6"/>
    </row>
    <row r="90" spans="1:8">
      <c r="D90" s="6"/>
      <c r="E90" s="6"/>
      <c r="F90" s="6"/>
      <c r="G90" s="6"/>
      <c r="H90" s="6"/>
    </row>
    <row r="92" spans="1:8">
      <c r="D92" s="6"/>
      <c r="E92" s="6"/>
      <c r="F92" s="6"/>
      <c r="G92" s="6"/>
      <c r="H92" s="6"/>
    </row>
    <row r="94" spans="1:8">
      <c r="D94" s="6"/>
      <c r="E94" s="6"/>
      <c r="F94" s="6"/>
      <c r="G94" s="6"/>
      <c r="H94" s="6"/>
    </row>
    <row r="95" spans="1:8">
      <c r="D95" s="6"/>
    </row>
    <row r="96" spans="1:8">
      <c r="D96" s="6"/>
    </row>
    <row r="97" spans="4:4">
      <c r="D97" s="6"/>
    </row>
  </sheetData>
  <printOptions gridLines="1"/>
  <pageMargins left="0.74803149606299213" right="0.74803149606299213" top="0.98425196850393704" bottom="0.98425196850393704" header="0.51181102362204722" footer="0.51181102362204722"/>
  <pageSetup paperSize="9" scale="49" orientation="landscape" verticalDpi="0" r:id="rId1"/>
  <headerFooter alignWithMargins="0">
    <oddFooter>&amp;LBARNZ ALTERNATIVE REVENUE MODELLING&amp;C &amp;RSEPTMBER 2012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7"/>
  <sheetViews>
    <sheetView zoomScaleNormal="100" workbookViewId="0">
      <pane ySplit="4" topLeftCell="A12" activePane="bottomLeft" state="frozenSplit"/>
      <selection pane="bottomLeft" activeCell="D37" sqref="D37"/>
    </sheetView>
  </sheetViews>
  <sheetFormatPr defaultRowHeight="12.75"/>
  <cols>
    <col min="1" max="1" width="40.42578125" customWidth="1"/>
    <col min="2" max="9" width="13.7109375" customWidth="1"/>
    <col min="10" max="10" width="115.5703125" style="2" customWidth="1"/>
  </cols>
  <sheetData>
    <row r="1" spans="1:10" ht="18">
      <c r="A1" s="1" t="s">
        <v>115</v>
      </c>
    </row>
    <row r="3" spans="1:10" ht="18">
      <c r="A3" s="1" t="s">
        <v>73</v>
      </c>
      <c r="B3" s="3"/>
      <c r="C3" s="3"/>
      <c r="D3" s="73" t="s">
        <v>108</v>
      </c>
    </row>
    <row r="4" spans="1:10">
      <c r="B4" s="4" t="s">
        <v>102</v>
      </c>
      <c r="C4" s="4">
        <v>2012</v>
      </c>
      <c r="D4" s="4">
        <v>2013</v>
      </c>
      <c r="E4" s="4">
        <v>2014</v>
      </c>
      <c r="F4" s="4">
        <v>2015</v>
      </c>
      <c r="G4" s="4">
        <v>2016</v>
      </c>
      <c r="H4" s="4">
        <v>2017</v>
      </c>
      <c r="I4" s="4" t="s">
        <v>1</v>
      </c>
      <c r="J4" s="27" t="s">
        <v>46</v>
      </c>
    </row>
    <row r="5" spans="1:10">
      <c r="A5" s="5" t="s">
        <v>2</v>
      </c>
    </row>
    <row r="6" spans="1:10">
      <c r="A6" t="s">
        <v>121</v>
      </c>
      <c r="C6" s="6">
        <v>179071.04473881173</v>
      </c>
      <c r="D6" s="6">
        <f>C6+D46</f>
        <v>182831.53667832678</v>
      </c>
      <c r="E6" s="6">
        <f>D6+E46</f>
        <v>186670.99894857165</v>
      </c>
      <c r="F6" s="6">
        <f>E6+F46</f>
        <v>190591.08992649167</v>
      </c>
      <c r="G6" s="6">
        <f>F6+G46</f>
        <v>194593.50281494798</v>
      </c>
      <c r="H6" s="6">
        <f>G6+H46</f>
        <v>198679.96637406189</v>
      </c>
    </row>
    <row r="7" spans="1:10">
      <c r="C7" s="6"/>
      <c r="D7" s="6"/>
      <c r="E7" s="6"/>
      <c r="F7" s="6"/>
      <c r="G7" s="6"/>
      <c r="H7" s="6"/>
    </row>
    <row r="8" spans="1:10">
      <c r="A8" t="s">
        <v>3</v>
      </c>
      <c r="C8" s="6"/>
      <c r="D8" s="6">
        <f>C13</f>
        <v>78128058.955261186</v>
      </c>
      <c r="E8" s="6">
        <f>D13</f>
        <v>76818789.677174553</v>
      </c>
      <c r="F8" s="6">
        <f>E13</f>
        <v>75232684.303553939</v>
      </c>
      <c r="G8" s="6">
        <f>F13</f>
        <v>73590250.683981434</v>
      </c>
      <c r="H8" s="6">
        <f>G13</f>
        <v>72031166.88266921</v>
      </c>
    </row>
    <row r="9" spans="1:10">
      <c r="A9" t="s">
        <v>4</v>
      </c>
      <c r="C9" s="20"/>
      <c r="D9" s="6">
        <v>-3307179.40276562</v>
      </c>
      <c r="E9" s="6">
        <v>-3407622.8566976399</v>
      </c>
      <c r="F9" s="6">
        <v>-3448014.2993790298</v>
      </c>
      <c r="G9" s="6">
        <v>-3367142.6625093799</v>
      </c>
      <c r="H9" s="6">
        <v>-3392853.8043529298</v>
      </c>
    </row>
    <row r="10" spans="1:10">
      <c r="A10" t="s">
        <v>54</v>
      </c>
      <c r="C10" s="24"/>
      <c r="D10" s="25"/>
      <c r="E10" s="25"/>
      <c r="F10" s="25"/>
      <c r="G10" s="25"/>
      <c r="H10" s="25"/>
    </row>
    <row r="11" spans="1:10">
      <c r="A11" t="s">
        <v>5</v>
      </c>
      <c r="C11" s="32"/>
      <c r="D11" s="7">
        <v>388393.98214164667</v>
      </c>
      <c r="E11" s="7">
        <v>237925.02045846064</v>
      </c>
      <c r="F11" s="7">
        <v>252868.35500234106</v>
      </c>
      <c r="G11" s="7">
        <v>287389.92106336867</v>
      </c>
      <c r="H11" s="7">
        <v>328840.17272838665</v>
      </c>
      <c r="J11" s="24"/>
    </row>
    <row r="12" spans="1:10">
      <c r="A12" t="s">
        <v>37</v>
      </c>
      <c r="C12" s="7"/>
      <c r="D12" s="7">
        <f>D47</f>
        <v>1609516.1425373359</v>
      </c>
      <c r="E12" s="7">
        <f>E47</f>
        <v>1583592.4626185666</v>
      </c>
      <c r="F12" s="7">
        <f>F47</f>
        <v>1552712.3248041891</v>
      </c>
      <c r="G12" s="7">
        <f>G47</f>
        <v>1520668.9401337926</v>
      </c>
      <c r="H12" s="7">
        <f>H47</f>
        <v>1489964.6869680127</v>
      </c>
    </row>
    <row r="13" spans="1:10" ht="12.75" customHeight="1">
      <c r="A13" t="s">
        <v>6</v>
      </c>
      <c r="C13" s="26">
        <f>83442130-C6-(6500000*0.79)</f>
        <v>78128058.955261186</v>
      </c>
      <c r="D13" s="6">
        <f>SUM(D8:D12)</f>
        <v>76818789.677174553</v>
      </c>
      <c r="E13" s="6">
        <f>SUM(E8:E12)</f>
        <v>75232684.303553939</v>
      </c>
      <c r="F13" s="6">
        <f>SUM(F8:F12)</f>
        <v>73590250.683981434</v>
      </c>
      <c r="G13" s="6">
        <f>SUM(G8:G12)</f>
        <v>72031166.88266921</v>
      </c>
      <c r="H13" s="6">
        <f>SUM(H8:H12)</f>
        <v>70457117.938012689</v>
      </c>
      <c r="J13" s="2" t="s">
        <v>126</v>
      </c>
    </row>
    <row r="14" spans="1:10">
      <c r="C14" s="6"/>
      <c r="D14" s="6"/>
      <c r="E14" s="6"/>
      <c r="F14" s="6"/>
      <c r="G14" s="6"/>
      <c r="H14" s="6"/>
    </row>
    <row r="15" spans="1:10">
      <c r="A15" s="5" t="s">
        <v>7</v>
      </c>
      <c r="B15" s="8"/>
      <c r="C15" s="8">
        <f t="shared" ref="C15:H15" si="0">C6+C13</f>
        <v>78307130</v>
      </c>
      <c r="D15" s="8">
        <f t="shared" si="0"/>
        <v>77001621.213852882</v>
      </c>
      <c r="E15" s="8">
        <f t="shared" si="0"/>
        <v>75419355.302502513</v>
      </c>
      <c r="F15" s="8">
        <f t="shared" si="0"/>
        <v>73780841.77390793</v>
      </c>
      <c r="G15" s="8">
        <f t="shared" si="0"/>
        <v>72225760.385484159</v>
      </c>
      <c r="H15" s="8">
        <f t="shared" si="0"/>
        <v>70655797.904386744</v>
      </c>
    </row>
    <row r="16" spans="1:10">
      <c r="A16" s="5"/>
      <c r="B16" s="8"/>
      <c r="C16" s="28"/>
      <c r="D16" s="28"/>
      <c r="E16" s="28"/>
      <c r="F16" s="28"/>
      <c r="G16" s="28"/>
      <c r="H16" s="28"/>
      <c r="I16" s="26"/>
    </row>
    <row r="17" spans="1:10">
      <c r="A17" s="5" t="s">
        <v>8</v>
      </c>
      <c r="B17" s="8"/>
      <c r="C17" s="8"/>
      <c r="D17" s="8">
        <f>(C15+D15)/2</f>
        <v>77654375.606926441</v>
      </c>
      <c r="E17" s="8">
        <f>(D15+E15)/2</f>
        <v>76210488.258177698</v>
      </c>
      <c r="F17" s="8">
        <f>(E15+F15)/2</f>
        <v>74600098.538205221</v>
      </c>
      <c r="G17" s="8">
        <f>(F15+G15)/2</f>
        <v>73003301.079696044</v>
      </c>
      <c r="H17" s="8">
        <f>(G15+H15)/2</f>
        <v>71440779.144935459</v>
      </c>
      <c r="J17" s="9"/>
    </row>
    <row r="18" spans="1:10">
      <c r="A18" s="5"/>
      <c r="B18" s="8"/>
      <c r="C18" s="8"/>
      <c r="D18" s="28"/>
      <c r="E18" s="28"/>
      <c r="F18" s="28"/>
      <c r="G18" s="28"/>
      <c r="H18" s="28"/>
    </row>
    <row r="19" spans="1:10">
      <c r="A19" t="s">
        <v>9</v>
      </c>
      <c r="B19" s="16">
        <f>Summary!B37</f>
        <v>8.0699999999999994E-2</v>
      </c>
      <c r="C19" s="10"/>
      <c r="D19" s="10">
        <f>$B$19</f>
        <v>8.0699999999999994E-2</v>
      </c>
      <c r="E19" s="10">
        <f>$B$19</f>
        <v>8.0699999999999994E-2</v>
      </c>
      <c r="F19" s="10">
        <f>$B$19</f>
        <v>8.0699999999999994E-2</v>
      </c>
      <c r="G19" s="10">
        <f>$B$19</f>
        <v>8.0699999999999994E-2</v>
      </c>
      <c r="H19" s="10">
        <f>$B$19</f>
        <v>8.0699999999999994E-2</v>
      </c>
    </row>
    <row r="20" spans="1:10">
      <c r="A20" s="5" t="s">
        <v>10</v>
      </c>
      <c r="B20" s="5"/>
      <c r="C20" s="8"/>
      <c r="D20" s="74">
        <f>D17*D19/12*7</f>
        <v>3655579.7316960618</v>
      </c>
      <c r="E20" s="8">
        <f>E17*E19</f>
        <v>6150186.4024349395</v>
      </c>
      <c r="F20" s="8">
        <f>F17*F19</f>
        <v>6020227.9520331612</v>
      </c>
      <c r="G20" s="8">
        <f>G17*G19</f>
        <v>5891366.39713147</v>
      </c>
      <c r="H20" s="8">
        <f>H17*H19</f>
        <v>5765270.8769962909</v>
      </c>
      <c r="I20" s="8">
        <f>SUM(D20:H20)</f>
        <v>27482631.360291921</v>
      </c>
    </row>
    <row r="21" spans="1:10">
      <c r="C21" s="6"/>
      <c r="D21" s="6"/>
      <c r="E21" s="6"/>
      <c r="F21" s="6"/>
      <c r="G21" s="6"/>
      <c r="H21" s="6"/>
    </row>
    <row r="22" spans="1:10">
      <c r="A22" t="s">
        <v>11</v>
      </c>
      <c r="C22" s="6"/>
      <c r="D22" s="75">
        <f>5220469.45116094/12*7</f>
        <v>3045273.8465105486</v>
      </c>
      <c r="E22" s="6">
        <v>5606859.3076499514</v>
      </c>
      <c r="F22" s="6">
        <v>5720293.1791709363</v>
      </c>
      <c r="G22" s="6">
        <v>5840385.538979969</v>
      </c>
      <c r="H22" s="6">
        <v>5962827.7111880165</v>
      </c>
      <c r="I22" s="8">
        <f>SUM(D22:H22)</f>
        <v>26175639.583499424</v>
      </c>
    </row>
    <row r="23" spans="1:10">
      <c r="A23" t="s">
        <v>4</v>
      </c>
      <c r="C23" s="26"/>
      <c r="D23" s="76">
        <f>-D9/12*7</f>
        <v>1929187.9849466118</v>
      </c>
      <c r="E23" s="26">
        <f>-E9</f>
        <v>3407622.8566976399</v>
      </c>
      <c r="F23" s="26">
        <f>-F9</f>
        <v>3448014.2993790298</v>
      </c>
      <c r="G23" s="26">
        <f>-G9</f>
        <v>3367142.6625093799</v>
      </c>
      <c r="H23" s="26">
        <f>-H9</f>
        <v>3392853.8043529298</v>
      </c>
      <c r="I23" s="8">
        <f>SUM(D23:H23)</f>
        <v>15544821.607885592</v>
      </c>
    </row>
    <row r="24" spans="1:10" ht="12.75" customHeight="1">
      <c r="A24" t="s">
        <v>12</v>
      </c>
      <c r="C24" s="6"/>
      <c r="D24" s="75">
        <f>((D20-D25)+(D23*0.34))*0.28/(1-0.28)</f>
        <v>787595.61466422712</v>
      </c>
      <c r="E24" s="6">
        <f t="shared" ref="E24:H24" si="1">((E20-E25)+(E23*0.34))*0.28/(1-0.28)</f>
        <v>1963253.0956117758</v>
      </c>
      <c r="F24" s="6">
        <f t="shared" si="1"/>
        <v>1930031.9314182296</v>
      </c>
      <c r="G24" s="6">
        <f t="shared" si="1"/>
        <v>1881655.3791547527</v>
      </c>
      <c r="H24" s="6">
        <f t="shared" si="1"/>
        <v>1847925.6732718225</v>
      </c>
      <c r="I24" s="8">
        <f>SUM(D24:H24)</f>
        <v>8410461.6941208076</v>
      </c>
      <c r="J24" s="11" t="s">
        <v>117</v>
      </c>
    </row>
    <row r="25" spans="1:10">
      <c r="A25" s="23" t="s">
        <v>44</v>
      </c>
      <c r="C25" s="6"/>
      <c r="D25" s="6">
        <f>D46+D47+D48</f>
        <v>2286257.7802984687</v>
      </c>
      <c r="E25" s="6">
        <f>E46+E47+E48</f>
        <v>2260413.0707104295</v>
      </c>
      <c r="F25" s="6">
        <f>F46+F47+F48</f>
        <v>2229613.5616037268</v>
      </c>
      <c r="G25" s="6">
        <f>G46+G47+G48</f>
        <v>2197652.4988438669</v>
      </c>
      <c r="H25" s="6">
        <f>H46+H47+H48</f>
        <v>2167032.2963487445</v>
      </c>
      <c r="I25" s="8">
        <f>SUM(D25:H25)</f>
        <v>11140969.207805237</v>
      </c>
      <c r="J25" s="11"/>
    </row>
    <row r="26" spans="1:10">
      <c r="C26" s="6"/>
      <c r="D26" s="6"/>
      <c r="E26" s="6"/>
      <c r="F26" s="6"/>
      <c r="G26" s="6"/>
      <c r="H26" s="6"/>
    </row>
    <row r="27" spans="1:10">
      <c r="A27" s="5" t="s">
        <v>13</v>
      </c>
      <c r="B27" s="8"/>
      <c r="C27" s="8"/>
      <c r="D27" s="74">
        <f t="shared" ref="D27:I27" si="2">D20+D22+D23+D24-D25</f>
        <v>7131379.3975189803</v>
      </c>
      <c r="E27" s="8">
        <f t="shared" si="2"/>
        <v>14867508.591683878</v>
      </c>
      <c r="F27" s="8">
        <f t="shared" si="2"/>
        <v>14888953.800397633</v>
      </c>
      <c r="G27" s="8">
        <f t="shared" si="2"/>
        <v>14782897.478931703</v>
      </c>
      <c r="H27" s="8">
        <f t="shared" si="2"/>
        <v>14801845.769460315</v>
      </c>
      <c r="I27" s="8">
        <f t="shared" si="2"/>
        <v>66472585.0379925</v>
      </c>
    </row>
    <row r="28" spans="1:10">
      <c r="A28" s="5"/>
      <c r="B28" s="8"/>
      <c r="C28" s="8"/>
      <c r="D28" s="8"/>
      <c r="E28" s="8"/>
      <c r="F28" s="8"/>
      <c r="G28" s="8"/>
      <c r="H28" s="8"/>
      <c r="I28" s="8"/>
    </row>
    <row r="29" spans="1:10" ht="12.75" customHeight="1">
      <c r="A29" t="s">
        <v>68</v>
      </c>
      <c r="C29" s="6">
        <f>C52*C54</f>
        <v>2826750.96</v>
      </c>
      <c r="D29" s="75">
        <f>D52*D54/12*7</f>
        <v>6167982.8270970015</v>
      </c>
      <c r="E29" s="6">
        <f>E52*E54</f>
        <v>11708222.276904661</v>
      </c>
      <c r="F29" s="6">
        <f>F52*F54</f>
        <v>15352907.572504688</v>
      </c>
      <c r="G29" s="6">
        <f>G52*G54</f>
        <v>17973262.615976717</v>
      </c>
      <c r="H29" s="6">
        <f>H52*H54</f>
        <v>18901222.164839596</v>
      </c>
      <c r="I29" s="13">
        <f>SUM(D29:H29)</f>
        <v>70103597.457322657</v>
      </c>
    </row>
    <row r="30" spans="1:10">
      <c r="A30" t="s">
        <v>14</v>
      </c>
      <c r="C30" s="41">
        <v>0</v>
      </c>
      <c r="D30" s="78">
        <v>0</v>
      </c>
      <c r="E30" s="41">
        <v>0</v>
      </c>
      <c r="F30" s="41">
        <v>0</v>
      </c>
      <c r="G30" s="41">
        <v>0</v>
      </c>
      <c r="H30" s="41">
        <v>0</v>
      </c>
      <c r="I30" s="13"/>
    </row>
    <row r="31" spans="1:10">
      <c r="A31" s="5" t="s">
        <v>15</v>
      </c>
      <c r="B31" s="5"/>
      <c r="C31" s="8">
        <f t="shared" ref="C31:H31" si="3">SUM(C29:C30)</f>
        <v>2826750.96</v>
      </c>
      <c r="D31" s="74">
        <f t="shared" si="3"/>
        <v>6167982.8270970015</v>
      </c>
      <c r="E31" s="8">
        <f t="shared" si="3"/>
        <v>11708222.276904661</v>
      </c>
      <c r="F31" s="8">
        <f t="shared" si="3"/>
        <v>15352907.572504688</v>
      </c>
      <c r="G31" s="8">
        <f t="shared" si="3"/>
        <v>17973262.615976717</v>
      </c>
      <c r="H31" s="8">
        <f t="shared" si="3"/>
        <v>18901222.164839596</v>
      </c>
      <c r="I31" s="8">
        <f>SUM(D31:H31)</f>
        <v>70103597.457322657</v>
      </c>
    </row>
    <row r="32" spans="1:10">
      <c r="A32" s="5"/>
      <c r="B32" s="5"/>
      <c r="C32" s="8"/>
      <c r="D32" s="70"/>
      <c r="E32" s="70"/>
      <c r="F32" s="70"/>
      <c r="G32" s="70"/>
      <c r="H32" s="70"/>
      <c r="I32" s="42"/>
    </row>
    <row r="33" spans="1:10">
      <c r="A33" s="5" t="s">
        <v>50</v>
      </c>
      <c r="B33" s="8"/>
      <c r="C33" s="8"/>
      <c r="D33" s="8">
        <f>D31-D27</f>
        <v>-963396.57042197883</v>
      </c>
      <c r="E33" s="8">
        <f>E31-E27</f>
        <v>-3159286.3147792164</v>
      </c>
      <c r="F33" s="8">
        <f>F31-F27</f>
        <v>463953.77210705541</v>
      </c>
      <c r="G33" s="8">
        <f>G31-G27</f>
        <v>3190365.1370450146</v>
      </c>
      <c r="H33" s="8">
        <f>H31-H27</f>
        <v>4099376.3953792807</v>
      </c>
      <c r="J33" s="14"/>
    </row>
    <row r="34" spans="1:10">
      <c r="A34" s="5"/>
      <c r="B34" s="8"/>
      <c r="C34" s="8"/>
      <c r="D34" s="8"/>
      <c r="E34" s="8"/>
      <c r="F34" s="8"/>
      <c r="G34" s="8"/>
      <c r="H34" s="8"/>
      <c r="J34" s="14"/>
    </row>
    <row r="35" spans="1:10">
      <c r="A35" s="5" t="s">
        <v>16</v>
      </c>
      <c r="C35" s="6"/>
      <c r="D35" s="6">
        <f>D33*(1-0.28)</f>
        <v>-693645.53070382471</v>
      </c>
      <c r="E35" s="6">
        <f>E33*(1-0.28)</f>
        <v>-2274686.1466410356</v>
      </c>
      <c r="F35" s="6">
        <f>F33*(1-0.28)</f>
        <v>334046.71591707988</v>
      </c>
      <c r="G35" s="6">
        <f>G33*(1-0.28)</f>
        <v>2297062.8986724103</v>
      </c>
      <c r="H35" s="6">
        <f>H33*(1-0.28)</f>
        <v>2951551.0046730819</v>
      </c>
    </row>
    <row r="36" spans="1:10">
      <c r="A36" s="5"/>
      <c r="C36" s="6"/>
      <c r="D36" s="6"/>
      <c r="E36" s="6"/>
      <c r="F36" s="6"/>
      <c r="G36" s="6"/>
      <c r="H36" s="6"/>
    </row>
    <row r="37" spans="1:10">
      <c r="A37" s="23" t="s">
        <v>103</v>
      </c>
      <c r="C37" s="6"/>
      <c r="D37" s="79">
        <f>8.5/12</f>
        <v>0.70833333333333337</v>
      </c>
      <c r="E37" s="43">
        <v>1.5</v>
      </c>
      <c r="F37" s="43">
        <v>2.5</v>
      </c>
      <c r="G37" s="43">
        <v>3.5</v>
      </c>
      <c r="H37" s="43">
        <v>4.5</v>
      </c>
    </row>
    <row r="38" spans="1:10" s="5" customFormat="1">
      <c r="A38" s="5" t="s">
        <v>17</v>
      </c>
      <c r="B38" s="45">
        <f>B19</f>
        <v>8.0699999999999994E-2</v>
      </c>
      <c r="C38" s="8"/>
      <c r="D38" s="8">
        <f>D35/(1+$B$38)^D37</f>
        <v>-656542.9014330497</v>
      </c>
      <c r="E38" s="8">
        <f t="shared" ref="E38:H38" si="4">E35/(1+$B$38)^E37</f>
        <v>-2024714.3246810189</v>
      </c>
      <c r="F38" s="8">
        <f t="shared" si="4"/>
        <v>275134.04159442941</v>
      </c>
      <c r="G38" s="8">
        <f t="shared" si="4"/>
        <v>1750672.287857959</v>
      </c>
      <c r="H38" s="8">
        <f t="shared" si="4"/>
        <v>2081503.3342695795</v>
      </c>
      <c r="I38" s="15">
        <f>SUM(D38:H38)</f>
        <v>1426052.4376078993</v>
      </c>
      <c r="J38" s="27"/>
    </row>
    <row r="39" spans="1:10">
      <c r="A39" s="12"/>
      <c r="B39" s="10"/>
      <c r="C39" s="6"/>
      <c r="D39" s="8"/>
      <c r="E39" s="8"/>
      <c r="F39" s="8"/>
      <c r="G39" s="8"/>
      <c r="H39" s="8"/>
      <c r="J39" s="9"/>
    </row>
    <row r="41" spans="1:10">
      <c r="D41" s="10"/>
      <c r="E41" s="10"/>
      <c r="F41" s="10"/>
      <c r="G41" s="10"/>
      <c r="H41" s="10"/>
    </row>
    <row r="42" spans="1:10">
      <c r="A42" t="s">
        <v>9</v>
      </c>
      <c r="C42" s="10"/>
      <c r="D42" s="16">
        <v>9.7799999999999998E-2</v>
      </c>
      <c r="E42" s="17">
        <f>D42</f>
        <v>9.7799999999999998E-2</v>
      </c>
      <c r="F42" s="17">
        <f>E42</f>
        <v>9.7799999999999998E-2</v>
      </c>
      <c r="G42" s="17">
        <f>F42</f>
        <v>9.7799999999999998E-2</v>
      </c>
      <c r="H42" s="17">
        <f>G42</f>
        <v>9.7799999999999998E-2</v>
      </c>
    </row>
    <row r="43" spans="1:10">
      <c r="C43" s="10"/>
      <c r="D43" s="17"/>
      <c r="E43" s="17"/>
      <c r="F43" s="17"/>
      <c r="G43" s="17"/>
      <c r="H43" s="17"/>
    </row>
    <row r="44" spans="1:10">
      <c r="A44" t="s">
        <v>33</v>
      </c>
      <c r="C44" s="10"/>
      <c r="D44" s="17">
        <v>2.1000000000000001E-2</v>
      </c>
      <c r="E44" s="17">
        <f>D44</f>
        <v>2.1000000000000001E-2</v>
      </c>
      <c r="F44" s="17">
        <f>E44</f>
        <v>2.1000000000000001E-2</v>
      </c>
      <c r="G44" s="17">
        <f>F44</f>
        <v>2.1000000000000001E-2</v>
      </c>
      <c r="H44" s="17">
        <f>G44</f>
        <v>2.1000000000000001E-2</v>
      </c>
    </row>
    <row r="45" spans="1:10">
      <c r="C45" s="10"/>
      <c r="D45" s="17"/>
      <c r="E45" s="17"/>
      <c r="F45" s="17"/>
      <c r="G45" s="17"/>
      <c r="H45" s="17"/>
    </row>
    <row r="46" spans="1:10">
      <c r="A46" t="s">
        <v>34</v>
      </c>
      <c r="C46" s="10"/>
      <c r="D46" s="19">
        <f>C6*D44</f>
        <v>3760.4919395150464</v>
      </c>
      <c r="E46" s="19">
        <f>D6*E44</f>
        <v>3839.4622702448628</v>
      </c>
      <c r="F46" s="19">
        <f>E6*F44</f>
        <v>3920.0909779200051</v>
      </c>
      <c r="G46" s="19">
        <f>F6*G44</f>
        <v>4002.4128884563252</v>
      </c>
      <c r="H46" s="19">
        <f>G6*H44</f>
        <v>4086.4635591139076</v>
      </c>
      <c r="I46" s="21">
        <f>SUM(D46:H46)</f>
        <v>19608.921635250146</v>
      </c>
    </row>
    <row r="47" spans="1:10" ht="25.5">
      <c r="A47" t="s">
        <v>35</v>
      </c>
      <c r="C47" s="10"/>
      <c r="D47" s="19">
        <f>D8*(0.981*D44)</f>
        <v>1609516.1425373359</v>
      </c>
      <c r="E47" s="19">
        <f>E8*(0.98165*E44)</f>
        <v>1583592.4626185666</v>
      </c>
      <c r="F47" s="19">
        <f>F8*(0.9828*F44)</f>
        <v>1552712.3248041891</v>
      </c>
      <c r="G47" s="19">
        <f>G8*(0.984*G44)</f>
        <v>1520668.9401337926</v>
      </c>
      <c r="H47" s="19">
        <f>H8*(0.985*H44)</f>
        <v>1489964.6869680127</v>
      </c>
      <c r="I47" s="21">
        <f>SUM(D47:H47)</f>
        <v>7756454.5570618967</v>
      </c>
      <c r="J47" s="2" t="s">
        <v>105</v>
      </c>
    </row>
    <row r="48" spans="1:10">
      <c r="A48" t="s">
        <v>36</v>
      </c>
      <c r="B48" s="19">
        <v>2682068.490731956</v>
      </c>
      <c r="C48" s="10">
        <f>B38</f>
        <v>8.0699999999999994E-2</v>
      </c>
      <c r="D48" s="19">
        <f>-PMT($C$48,5,$B$48,0)</f>
        <v>672981.1458216178</v>
      </c>
      <c r="E48" s="19">
        <f>-PMT($C$48,5,$B$48,0)</f>
        <v>672981.1458216178</v>
      </c>
      <c r="F48" s="19">
        <f>-PMT($C$48,5,$B$48,0)</f>
        <v>672981.1458216178</v>
      </c>
      <c r="G48" s="19">
        <f>-PMT($C$48,5,$B$48,0)</f>
        <v>672981.1458216178</v>
      </c>
      <c r="H48" s="19">
        <f>-PMT($C$48,5,$B$48,0)</f>
        <v>672981.1458216178</v>
      </c>
      <c r="I48" s="21">
        <f>SUM(D48:H48)</f>
        <v>3364905.7291080891</v>
      </c>
      <c r="J48" s="2" t="s">
        <v>118</v>
      </c>
    </row>
    <row r="49" spans="1:10">
      <c r="B49" s="19"/>
      <c r="C49" s="10"/>
      <c r="D49" s="19"/>
      <c r="E49" s="19"/>
      <c r="F49" s="19"/>
      <c r="G49" s="19"/>
      <c r="H49" s="19"/>
    </row>
    <row r="50" spans="1:10">
      <c r="A50" t="s">
        <v>52</v>
      </c>
      <c r="B50" s="19"/>
      <c r="C50" s="10"/>
      <c r="D50" s="19">
        <f>SUM(D46:D48)</f>
        <v>2286257.7802984687</v>
      </c>
      <c r="E50" s="19">
        <f>SUM(E46:E48)</f>
        <v>2260413.0707104295</v>
      </c>
      <c r="F50" s="19">
        <f>SUM(F46:F48)</f>
        <v>2229613.5616037268</v>
      </c>
      <c r="G50" s="19">
        <f>SUM(G46:G48)</f>
        <v>2197652.4988438669</v>
      </c>
      <c r="H50" s="19">
        <f>SUM(H46:H48)</f>
        <v>2167032.2963487445</v>
      </c>
      <c r="I50" s="21">
        <f>SUM(D50:H50)</f>
        <v>11140969.207805237</v>
      </c>
    </row>
    <row r="51" spans="1:10">
      <c r="B51" s="49"/>
      <c r="C51" s="26"/>
      <c r="D51" s="26"/>
      <c r="E51" s="26"/>
      <c r="F51" s="26"/>
      <c r="G51" s="26"/>
      <c r="H51" s="26"/>
      <c r="I51" s="26"/>
    </row>
    <row r="52" spans="1:10">
      <c r="A52" t="s">
        <v>69</v>
      </c>
      <c r="C52" s="6">
        <v>1744908</v>
      </c>
      <c r="D52" s="21">
        <f>C52*(1+D53)</f>
        <v>1823073</v>
      </c>
      <c r="E52" s="21">
        <f>D52*(1+E53)</f>
        <v>1977165</v>
      </c>
      <c r="F52" s="21">
        <f>E52*(1+F53)</f>
        <v>2135338.2000000002</v>
      </c>
      <c r="G52" s="21">
        <f>F52*(1+G53)</f>
        <v>2156691.5820000004</v>
      </c>
      <c r="H52" s="21">
        <f>G52*(1+H53)</f>
        <v>2221392.3294600006</v>
      </c>
      <c r="I52" s="20">
        <f>(H52-C52)/C52</f>
        <v>0.27307131920995298</v>
      </c>
      <c r="J52" s="2" t="s">
        <v>26</v>
      </c>
    </row>
    <row r="53" spans="1:10" ht="12.75" customHeight="1">
      <c r="A53" t="s">
        <v>70</v>
      </c>
      <c r="C53" s="10"/>
      <c r="D53" s="17">
        <v>4.4796058015666156E-2</v>
      </c>
      <c r="E53" s="17">
        <v>8.4523219860093368E-2</v>
      </c>
      <c r="F53" s="17">
        <v>0.08</v>
      </c>
      <c r="G53" s="17">
        <v>0.01</v>
      </c>
      <c r="H53" s="17">
        <v>0.03</v>
      </c>
      <c r="J53" s="2" t="s">
        <v>120</v>
      </c>
    </row>
    <row r="54" spans="1:10">
      <c r="A54" t="s">
        <v>71</v>
      </c>
      <c r="C54" s="22">
        <v>1.62</v>
      </c>
      <c r="D54" s="22">
        <f>C54*(1+D55)</f>
        <v>5.7999240000000007</v>
      </c>
      <c r="E54" s="22">
        <f>D54*(1+E55)</f>
        <v>5.9217224040000005</v>
      </c>
      <c r="F54" s="69">
        <f>E54*(1+F55)</f>
        <v>7.1899184740406401</v>
      </c>
      <c r="G54" s="69">
        <f>F54*(1+G55)</f>
        <v>8.333719464564922</v>
      </c>
      <c r="H54" s="69">
        <f>G54*(1+H55)</f>
        <v>8.508727573320785</v>
      </c>
    </row>
    <row r="55" spans="1:10">
      <c r="A55" t="s">
        <v>72</v>
      </c>
      <c r="D55" s="18">
        <v>2.5802</v>
      </c>
      <c r="E55" s="18">
        <v>2.1000000000000001E-2</v>
      </c>
      <c r="F55" s="18">
        <v>0.21415999999999999</v>
      </c>
      <c r="G55" s="18">
        <v>0.159084</v>
      </c>
      <c r="H55" s="18">
        <v>2.1000000000000001E-2</v>
      </c>
      <c r="J55" s="2" t="s">
        <v>26</v>
      </c>
    </row>
    <row r="56" spans="1:10">
      <c r="D56" s="10"/>
      <c r="E56" s="10"/>
      <c r="F56" s="10"/>
      <c r="G56" s="10"/>
      <c r="H56" s="10"/>
    </row>
    <row r="57" spans="1:10">
      <c r="C57" s="6"/>
      <c r="D57" s="6"/>
      <c r="F57" s="67"/>
      <c r="G57" s="68"/>
      <c r="H57" s="66"/>
    </row>
    <row r="58" spans="1:10">
      <c r="D58" s="6"/>
    </row>
    <row r="59" spans="1:10">
      <c r="A59" s="5" t="s">
        <v>98</v>
      </c>
      <c r="C59" s="26"/>
      <c r="D59" s="52"/>
      <c r="E59" s="52"/>
      <c r="F59" s="52"/>
      <c r="G59" s="52"/>
      <c r="H59" s="52"/>
      <c r="I59" s="26"/>
    </row>
    <row r="60" spans="1:10">
      <c r="A60" t="s">
        <v>38</v>
      </c>
      <c r="C60" s="26"/>
      <c r="D60" s="60">
        <v>3045273.8465105486</v>
      </c>
      <c r="E60" s="58">
        <v>5606859.3076499514</v>
      </c>
      <c r="F60" s="58">
        <v>5720293.1791709363</v>
      </c>
      <c r="G60" s="58">
        <v>5840385.538979969</v>
      </c>
      <c r="H60" s="58">
        <v>5962827.7111880165</v>
      </c>
    </row>
    <row r="61" spans="1:10">
      <c r="A61" t="s">
        <v>39</v>
      </c>
      <c r="C61" s="26"/>
      <c r="D61" s="60">
        <v>1929187.984946612</v>
      </c>
      <c r="E61" s="58">
        <v>3407622.8566976432</v>
      </c>
      <c r="F61" s="58">
        <v>3448014.2993790321</v>
      </c>
      <c r="G61" s="58">
        <v>3367142.6625093808</v>
      </c>
      <c r="H61" s="58">
        <v>3392853.8043529298</v>
      </c>
      <c r="I61" s="26"/>
    </row>
    <row r="62" spans="1:10">
      <c r="A62" t="s">
        <v>40</v>
      </c>
      <c r="C62" s="26"/>
      <c r="D62" s="60">
        <v>6550054.3551437631</v>
      </c>
      <c r="E62" s="58">
        <v>11047448.483343208</v>
      </c>
      <c r="F62" s="58">
        <v>10843971.920831002</v>
      </c>
      <c r="G62" s="58">
        <v>10642660.975120515</v>
      </c>
      <c r="H62" s="58">
        <v>10446337.491701961</v>
      </c>
    </row>
    <row r="63" spans="1:10">
      <c r="A63" t="s">
        <v>41</v>
      </c>
      <c r="C63" s="26"/>
      <c r="D63" s="60">
        <v>-1002808.6151460855</v>
      </c>
      <c r="E63" s="58">
        <v>-1695447.9909860103</v>
      </c>
      <c r="F63" s="58">
        <v>-1666997.0982626916</v>
      </c>
      <c r="G63" s="58">
        <v>-1637457.6578185123</v>
      </c>
      <c r="H63" s="58">
        <v>-1609457.2920561568</v>
      </c>
    </row>
    <row r="64" spans="1:10">
      <c r="A64" t="s">
        <v>42</v>
      </c>
      <c r="C64" s="26"/>
      <c r="D64" s="58">
        <v>-772890.00426793715</v>
      </c>
      <c r="E64" s="58">
        <v>-772890.00426793715</v>
      </c>
      <c r="F64" s="58">
        <v>-772890.00426793715</v>
      </c>
      <c r="G64" s="58">
        <v>-772890.00426793715</v>
      </c>
      <c r="H64" s="58">
        <v>-772890.00426793715</v>
      </c>
    </row>
    <row r="65" spans="1:9">
      <c r="A65" t="s">
        <v>43</v>
      </c>
      <c r="D65" s="61">
        <v>9748817.5671869013</v>
      </c>
      <c r="E65" s="61">
        <v>17593592.652436852</v>
      </c>
      <c r="F65" s="61">
        <v>17572392.296850342</v>
      </c>
      <c r="G65" s="61">
        <v>17439841.514523417</v>
      </c>
      <c r="H65" s="61">
        <v>17419671.71091881</v>
      </c>
      <c r="I65" s="26">
        <f>SUM(D65:H65)</f>
        <v>79774315.741916329</v>
      </c>
    </row>
    <row r="67" spans="1:9">
      <c r="D67" s="26"/>
      <c r="E67" s="26"/>
      <c r="F67" s="26"/>
      <c r="G67" s="26"/>
      <c r="H67" s="26"/>
    </row>
    <row r="68" spans="1:9">
      <c r="D68" s="26"/>
      <c r="E68" s="26"/>
      <c r="F68" s="26"/>
      <c r="G68" s="26"/>
      <c r="H68" s="26"/>
    </row>
    <row r="69" spans="1:9">
      <c r="D69" s="26"/>
      <c r="E69" s="26"/>
      <c r="F69" s="26"/>
      <c r="G69" s="26"/>
      <c r="H69" s="26"/>
    </row>
    <row r="74" spans="1:9">
      <c r="A74" s="5"/>
    </row>
    <row r="87" spans="1:8">
      <c r="A87" s="5"/>
    </row>
    <row r="88" spans="1:8">
      <c r="D88" s="10"/>
      <c r="E88" s="10"/>
      <c r="F88" s="10"/>
      <c r="G88" s="10"/>
      <c r="H88" s="10"/>
    </row>
    <row r="89" spans="1:8">
      <c r="D89" s="6"/>
      <c r="E89" s="6"/>
      <c r="F89" s="6"/>
      <c r="G89" s="6"/>
      <c r="H89" s="6"/>
    </row>
    <row r="90" spans="1:8">
      <c r="D90" s="6"/>
      <c r="E90" s="6"/>
      <c r="F90" s="6"/>
      <c r="G90" s="6"/>
      <c r="H90" s="6"/>
    </row>
    <row r="92" spans="1:8">
      <c r="D92" s="6"/>
      <c r="E92" s="6"/>
      <c r="F92" s="6"/>
      <c r="G92" s="6"/>
      <c r="H92" s="6"/>
    </row>
    <row r="94" spans="1:8">
      <c r="D94" s="6"/>
      <c r="E94" s="6"/>
      <c r="F94" s="6"/>
      <c r="G94" s="6"/>
      <c r="H94" s="6"/>
    </row>
    <row r="95" spans="1:8">
      <c r="D95" s="6"/>
    </row>
    <row r="96" spans="1:8">
      <c r="D96" s="6"/>
    </row>
    <row r="97" spans="4:4">
      <c r="D97" s="6"/>
    </row>
  </sheetData>
  <printOptions gridLines="1"/>
  <pageMargins left="0.74803149606299213" right="0.74803149606299213" top="0.98425196850393704" bottom="0.98425196850393704" header="0.51181102362204722" footer="0.51181102362204722"/>
  <pageSetup paperSize="9" scale="49" orientation="landscape" verticalDpi="0" r:id="rId1"/>
  <headerFooter alignWithMargins="0">
    <oddFooter>&amp;LBARNZ ALTERNATIVE REVENUE MODELLING&amp;C &amp;RSEPTMBER 2012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4"/>
  <sheetViews>
    <sheetView zoomScaleNormal="100" workbookViewId="0">
      <pane ySplit="4" topLeftCell="A26" activePane="bottomLeft" state="frozenSplit"/>
      <selection pane="bottomLeft" activeCell="D37" sqref="D37"/>
    </sheetView>
  </sheetViews>
  <sheetFormatPr defaultRowHeight="12.75"/>
  <cols>
    <col min="1" max="1" width="40.42578125" customWidth="1"/>
    <col min="2" max="9" width="13.7109375" customWidth="1"/>
    <col min="10" max="10" width="115.7109375" style="2" customWidth="1"/>
  </cols>
  <sheetData>
    <row r="1" spans="1:10" ht="18">
      <c r="A1" s="1" t="s">
        <v>48</v>
      </c>
    </row>
    <row r="3" spans="1:10" ht="18">
      <c r="A3" s="1" t="s">
        <v>96</v>
      </c>
      <c r="B3" s="3"/>
      <c r="C3" s="3"/>
      <c r="D3" s="73" t="s">
        <v>108</v>
      </c>
    </row>
    <row r="4" spans="1:10">
      <c r="B4" s="3"/>
      <c r="C4" s="4">
        <v>2012</v>
      </c>
      <c r="D4" s="4">
        <v>2013</v>
      </c>
      <c r="E4" s="4">
        <v>2014</v>
      </c>
      <c r="F4" s="4">
        <v>2015</v>
      </c>
      <c r="G4" s="4">
        <v>2016</v>
      </c>
      <c r="H4" s="4">
        <v>2017</v>
      </c>
      <c r="I4" s="4" t="s">
        <v>1</v>
      </c>
      <c r="J4" s="27" t="s">
        <v>46</v>
      </c>
    </row>
    <row r="5" spans="1:10">
      <c r="A5" s="5" t="s">
        <v>2</v>
      </c>
    </row>
    <row r="6" spans="1:10">
      <c r="A6" t="s">
        <v>121</v>
      </c>
      <c r="C6" s="6">
        <v>21287</v>
      </c>
      <c r="D6" s="6">
        <f>C6+D44</f>
        <v>21734.027000000002</v>
      </c>
      <c r="E6" s="6">
        <f>D6+E44</f>
        <v>22190.441567000002</v>
      </c>
      <c r="F6" s="6">
        <f>E6+F44</f>
        <v>22656.440839907002</v>
      </c>
      <c r="G6" s="6">
        <f>F6+G44</f>
        <v>23132.226097545048</v>
      </c>
      <c r="H6" s="6">
        <f>G6+H44</f>
        <v>23618.002845593495</v>
      </c>
    </row>
    <row r="7" spans="1:10">
      <c r="C7" s="6"/>
      <c r="D7" s="6"/>
      <c r="E7" s="6"/>
      <c r="F7" s="6"/>
      <c r="G7" s="6"/>
      <c r="H7" s="6"/>
    </row>
    <row r="8" spans="1:10">
      <c r="A8" t="s">
        <v>3</v>
      </c>
      <c r="C8" s="6"/>
      <c r="D8" s="6">
        <f>C13</f>
        <v>12750189.475979</v>
      </c>
      <c r="E8" s="6">
        <f>D13</f>
        <v>12587342.518586712</v>
      </c>
      <c r="F8" s="6">
        <f>E13</f>
        <v>12385549.204998594</v>
      </c>
      <c r="G8" s="6">
        <f>F13</f>
        <v>12175487.808187792</v>
      </c>
      <c r="H8" s="6">
        <f>G13</f>
        <v>11961914.972802417</v>
      </c>
    </row>
    <row r="9" spans="1:10">
      <c r="A9" t="s">
        <v>4</v>
      </c>
      <c r="C9" s="24"/>
      <c r="D9" s="6">
        <v>-490344.05908816197</v>
      </c>
      <c r="E9" s="6">
        <v>-506953.943398237</v>
      </c>
      <c r="F9" s="6">
        <v>-514631.19068305503</v>
      </c>
      <c r="G9" s="6">
        <v>-514803.52590702602</v>
      </c>
      <c r="H9" s="6">
        <v>-521593.20504056697</v>
      </c>
    </row>
    <row r="10" spans="1:10">
      <c r="A10" t="s">
        <v>54</v>
      </c>
      <c r="C10" s="26">
        <v>0</v>
      </c>
      <c r="D10" s="25"/>
      <c r="E10" s="25"/>
      <c r="F10" s="25"/>
      <c r="G10" s="25"/>
      <c r="H10" s="25"/>
    </row>
    <row r="11" spans="1:10">
      <c r="A11" t="s">
        <v>5</v>
      </c>
      <c r="C11" s="32"/>
      <c r="D11" s="7">
        <v>61178.284027728623</v>
      </c>
      <c r="E11" s="7">
        <v>42676.776270029201</v>
      </c>
      <c r="F11" s="7">
        <v>46554.03283372258</v>
      </c>
      <c r="G11" s="7">
        <v>47846.61374545638</v>
      </c>
      <c r="H11" s="7">
        <v>64758.798304740121</v>
      </c>
      <c r="J11" s="24"/>
    </row>
    <row r="12" spans="1:10">
      <c r="A12" t="s">
        <v>37</v>
      </c>
      <c r="C12" s="7"/>
      <c r="D12" s="7">
        <f>D45</f>
        <v>266318.81766814279</v>
      </c>
      <c r="E12" s="7">
        <f>E45</f>
        <v>262483.85354008869</v>
      </c>
      <c r="F12" s="7">
        <f>F45</f>
        <v>258015.76103853071</v>
      </c>
      <c r="G12" s="7">
        <f>G45</f>
        <v>253384.07677619613</v>
      </c>
      <c r="H12" s="7">
        <f>H45</f>
        <v>248939.41249899109</v>
      </c>
    </row>
    <row r="13" spans="1:10">
      <c r="A13" t="s">
        <v>6</v>
      </c>
      <c r="C13" s="6">
        <f>12771476.475979-C6</f>
        <v>12750189.475979</v>
      </c>
      <c r="D13" s="6">
        <f>SUM(D8:D12)</f>
        <v>12587342.518586712</v>
      </c>
      <c r="E13" s="6">
        <f>SUM(E8:E12)</f>
        <v>12385549.204998594</v>
      </c>
      <c r="F13" s="6">
        <f>SUM(F8:F12)</f>
        <v>12175487.808187792</v>
      </c>
      <c r="G13" s="6">
        <f>SUM(G8:G12)</f>
        <v>11961914.972802417</v>
      </c>
      <c r="H13" s="6">
        <f>SUM(H8:H12)</f>
        <v>11754019.978565583</v>
      </c>
    </row>
    <row r="14" spans="1:10">
      <c r="C14" s="6"/>
      <c r="D14" s="6"/>
      <c r="E14" s="6"/>
      <c r="F14" s="6"/>
      <c r="G14" s="6"/>
      <c r="H14" s="6"/>
    </row>
    <row r="15" spans="1:10">
      <c r="A15" s="5" t="s">
        <v>7</v>
      </c>
      <c r="B15" s="8"/>
      <c r="C15" s="8">
        <f t="shared" ref="C15:H15" si="0">C6+C13</f>
        <v>12771476.475979</v>
      </c>
      <c r="D15" s="8">
        <f t="shared" si="0"/>
        <v>12609076.545586713</v>
      </c>
      <c r="E15" s="8">
        <f t="shared" si="0"/>
        <v>12407739.646565594</v>
      </c>
      <c r="F15" s="8">
        <f t="shared" si="0"/>
        <v>12198144.249027699</v>
      </c>
      <c r="G15" s="8">
        <f t="shared" si="0"/>
        <v>11985047.198899962</v>
      </c>
      <c r="H15" s="8">
        <f t="shared" si="0"/>
        <v>11777637.981411176</v>
      </c>
    </row>
    <row r="16" spans="1:10">
      <c r="A16" s="5"/>
      <c r="B16" s="8"/>
      <c r="C16" s="28"/>
      <c r="D16" s="28"/>
      <c r="E16" s="28"/>
      <c r="F16" s="28"/>
      <c r="G16" s="28"/>
      <c r="H16" s="28"/>
    </row>
    <row r="17" spans="1:10">
      <c r="A17" s="5" t="s">
        <v>8</v>
      </c>
      <c r="B17" s="8"/>
      <c r="C17" s="8"/>
      <c r="D17" s="8">
        <f>(C15+D15)/2</f>
        <v>12690276.510782856</v>
      </c>
      <c r="E17" s="8">
        <f>(D15+E15)/2</f>
        <v>12508408.096076153</v>
      </c>
      <c r="F17" s="8">
        <f>(E15+F15)/2</f>
        <v>12302941.947796647</v>
      </c>
      <c r="G17" s="8">
        <f>(F15+G15)/2</f>
        <v>12091595.723963831</v>
      </c>
      <c r="H17" s="8">
        <f>(G15+H15)/2</f>
        <v>11881342.590155568</v>
      </c>
      <c r="J17" s="9"/>
    </row>
    <row r="18" spans="1:10">
      <c r="A18" s="5"/>
      <c r="B18" s="8"/>
      <c r="C18" s="8"/>
      <c r="D18" s="28"/>
      <c r="E18" s="28"/>
      <c r="F18" s="28"/>
      <c r="G18" s="28"/>
      <c r="H18" s="28"/>
    </row>
    <row r="19" spans="1:10">
      <c r="A19" t="s">
        <v>9</v>
      </c>
      <c r="B19" s="16">
        <v>9.7589999999999996E-2</v>
      </c>
      <c r="C19" s="10"/>
      <c r="D19" s="10">
        <f>$B$19</f>
        <v>9.7589999999999996E-2</v>
      </c>
      <c r="E19" s="10">
        <f>$B$19</f>
        <v>9.7589999999999996E-2</v>
      </c>
      <c r="F19" s="10">
        <f>$B$19</f>
        <v>9.7589999999999996E-2</v>
      </c>
      <c r="G19" s="10">
        <f>$B$19</f>
        <v>9.7589999999999996E-2</v>
      </c>
      <c r="H19" s="10">
        <f>$B$19</f>
        <v>9.7589999999999996E-2</v>
      </c>
    </row>
    <row r="20" spans="1:10">
      <c r="A20" s="5" t="s">
        <v>10</v>
      </c>
      <c r="B20" s="5"/>
      <c r="C20" s="8"/>
      <c r="D20" s="74">
        <f>D17*D19/12*7</f>
        <v>722425.71606759098</v>
      </c>
      <c r="E20" s="8">
        <f>E17*E19</f>
        <v>1220695.5460960718</v>
      </c>
      <c r="F20" s="8">
        <f>F17*F19</f>
        <v>1200644.1046854747</v>
      </c>
      <c r="G20" s="8">
        <f>G17*G19</f>
        <v>1180018.8267016301</v>
      </c>
      <c r="H20" s="8">
        <f>H17*H19</f>
        <v>1159500.2233732818</v>
      </c>
      <c r="I20" s="8">
        <f>SUM(D20:H20)</f>
        <v>5483284.4169240491</v>
      </c>
    </row>
    <row r="21" spans="1:10">
      <c r="C21" s="6"/>
    </row>
    <row r="22" spans="1:10">
      <c r="A22" t="s">
        <v>11</v>
      </c>
      <c r="C22" s="6"/>
      <c r="D22" s="76">
        <f>1582770.57008951/12*7</f>
        <v>923282.83255221404</v>
      </c>
      <c r="E22" s="26">
        <v>1677369.5837722076</v>
      </c>
      <c r="F22" s="26">
        <v>1709991.8642557396</v>
      </c>
      <c r="G22" s="26">
        <v>1745928.2656276373</v>
      </c>
      <c r="H22" s="26">
        <v>1782653.6330009568</v>
      </c>
      <c r="I22" s="8">
        <f>SUM(D22:H22)</f>
        <v>7839226.1792087555</v>
      </c>
    </row>
    <row r="23" spans="1:10">
      <c r="A23" t="s">
        <v>4</v>
      </c>
      <c r="C23" s="26"/>
      <c r="D23" s="76">
        <f>-D9/12*7</f>
        <v>286034.03446809447</v>
      </c>
      <c r="E23" s="26">
        <f>-E9</f>
        <v>506953.943398237</v>
      </c>
      <c r="F23" s="26">
        <f>-F9</f>
        <v>514631.19068305503</v>
      </c>
      <c r="G23" s="26">
        <f>-G9</f>
        <v>514803.52590702602</v>
      </c>
      <c r="H23" s="26">
        <f>-H9</f>
        <v>521593.20504056697</v>
      </c>
      <c r="I23" s="8">
        <f>SUM(D23:H23)</f>
        <v>2344015.8994969795</v>
      </c>
    </row>
    <row r="24" spans="1:10">
      <c r="A24" t="s">
        <v>12</v>
      </c>
      <c r="C24" s="6"/>
      <c r="D24" s="75">
        <f>(D20)*0.28/(1-0.28)</f>
        <v>280943.33402628539</v>
      </c>
      <c r="E24" s="6">
        <f>(E20)*0.28/(1-0.28)</f>
        <v>474714.93459291686</v>
      </c>
      <c r="F24" s="6">
        <f>(F20)*0.28/(1-0.28)</f>
        <v>466917.15182212909</v>
      </c>
      <c r="G24" s="6">
        <f>(G20)*0.28/(1-0.28)</f>
        <v>458896.21038396738</v>
      </c>
      <c r="H24" s="6">
        <f>(H20)*0.28/(1-0.28)</f>
        <v>450916.75353405403</v>
      </c>
      <c r="I24" s="8">
        <f>SUM(D24:H24)</f>
        <v>2132388.3843593528</v>
      </c>
      <c r="J24" s="11" t="s">
        <v>45</v>
      </c>
    </row>
    <row r="25" spans="1:10">
      <c r="A25" s="23" t="s">
        <v>44</v>
      </c>
      <c r="C25" s="6"/>
      <c r="D25" s="75">
        <f>((D44+D45)/12*7)+D48</f>
        <v>156379.93807612226</v>
      </c>
      <c r="E25" s="6">
        <f>E44+E45+E48</f>
        <v>263706.79679346102</v>
      </c>
      <c r="F25" s="6">
        <f>F44+F45+F48</f>
        <v>259248.28899781001</v>
      </c>
      <c r="G25" s="6">
        <f>G44+G45+G48</f>
        <v>254626.39072020649</v>
      </c>
      <c r="H25" s="6">
        <f>H44+H45+H48</f>
        <v>250191.71793341183</v>
      </c>
      <c r="I25" s="8">
        <f>SUM(D25:H25)</f>
        <v>1184153.1325210114</v>
      </c>
      <c r="J25" s="11"/>
    </row>
    <row r="26" spans="1:10">
      <c r="C26" s="6"/>
      <c r="D26" s="6"/>
      <c r="E26" s="6"/>
      <c r="F26" s="6"/>
      <c r="G26" s="6"/>
      <c r="H26" s="6"/>
    </row>
    <row r="27" spans="1:10">
      <c r="A27" s="5" t="s">
        <v>13</v>
      </c>
      <c r="B27" s="8"/>
      <c r="C27" s="8"/>
      <c r="D27" s="74">
        <f t="shared" ref="D27:I27" si="1">D20+D22+D23+D24-D25</f>
        <v>2056305.9790380625</v>
      </c>
      <c r="E27" s="8">
        <f t="shared" si="1"/>
        <v>3616027.2110659722</v>
      </c>
      <c r="F27" s="8">
        <f t="shared" si="1"/>
        <v>3632936.0224485891</v>
      </c>
      <c r="G27" s="8">
        <f t="shared" si="1"/>
        <v>3645020.4379000547</v>
      </c>
      <c r="H27" s="8">
        <f t="shared" si="1"/>
        <v>3664472.0970154479</v>
      </c>
      <c r="I27" s="8">
        <f t="shared" si="1"/>
        <v>16614761.747468125</v>
      </c>
    </row>
    <row r="28" spans="1:10">
      <c r="C28" s="6"/>
      <c r="D28" s="71"/>
      <c r="E28" s="71"/>
      <c r="F28" s="71"/>
      <c r="G28" s="71"/>
      <c r="H28" s="71"/>
    </row>
    <row r="29" spans="1:10" ht="12.75" customHeight="1">
      <c r="A29" t="s">
        <v>74</v>
      </c>
      <c r="C29" s="6">
        <f>C51*C53</f>
        <v>1578856.86</v>
      </c>
      <c r="D29" s="75">
        <f>D51*D53/12*7</f>
        <v>1126604.2816097653</v>
      </c>
      <c r="E29" s="6">
        <f>E51*E53</f>
        <v>2079133.8429783089</v>
      </c>
      <c r="F29" s="6">
        <f>F51*F53</f>
        <v>2527757.3778713597</v>
      </c>
      <c r="G29" s="6">
        <f>G51*G53</f>
        <v>2951725.2878425005</v>
      </c>
      <c r="H29" s="6">
        <f>H51*H53</f>
        <v>3048756.4632845726</v>
      </c>
      <c r="I29" s="13">
        <f>SUM(D29:H29)</f>
        <v>11733977.253586506</v>
      </c>
    </row>
    <row r="30" spans="1:10">
      <c r="A30" t="s">
        <v>14</v>
      </c>
      <c r="C30" s="41">
        <v>0</v>
      </c>
      <c r="D30" s="78">
        <v>0</v>
      </c>
      <c r="E30" s="41">
        <v>0</v>
      </c>
      <c r="F30" s="41">
        <v>0</v>
      </c>
      <c r="G30" s="41">
        <v>0</v>
      </c>
      <c r="H30" s="41">
        <v>0</v>
      </c>
      <c r="I30" s="13"/>
    </row>
    <row r="31" spans="1:10">
      <c r="A31" s="5" t="s">
        <v>15</v>
      </c>
      <c r="B31" s="5"/>
      <c r="C31" s="8">
        <f t="shared" ref="C31:H31" si="2">SUM(C29:C30)</f>
        <v>1578856.86</v>
      </c>
      <c r="D31" s="74">
        <f t="shared" si="2"/>
        <v>1126604.2816097653</v>
      </c>
      <c r="E31" s="8">
        <f t="shared" si="2"/>
        <v>2079133.8429783089</v>
      </c>
      <c r="F31" s="8">
        <f t="shared" si="2"/>
        <v>2527757.3778713597</v>
      </c>
      <c r="G31" s="8">
        <f t="shared" si="2"/>
        <v>2951725.2878425005</v>
      </c>
      <c r="H31" s="8">
        <f t="shared" si="2"/>
        <v>3048756.4632845726</v>
      </c>
      <c r="I31" s="8">
        <f>SUM(D31:H31)</f>
        <v>11733977.253586506</v>
      </c>
    </row>
    <row r="32" spans="1:10">
      <c r="A32" s="5"/>
      <c r="B32" s="5"/>
      <c r="C32" s="8"/>
      <c r="D32" s="30"/>
      <c r="E32" s="30"/>
      <c r="F32" s="30"/>
      <c r="G32" s="30"/>
      <c r="H32" s="30"/>
      <c r="I32" s="42"/>
    </row>
    <row r="33" spans="1:10">
      <c r="A33" s="5" t="s">
        <v>50</v>
      </c>
      <c r="B33" s="8"/>
      <c r="C33" s="8"/>
      <c r="D33" s="8">
        <f>D31-D27</f>
        <v>-929701.69742829725</v>
      </c>
      <c r="E33" s="8">
        <f>E31-E27</f>
        <v>-1536893.3680876633</v>
      </c>
      <c r="F33" s="8">
        <f>F31-F27</f>
        <v>-1105178.6445772294</v>
      </c>
      <c r="G33" s="8">
        <f>G31-G27</f>
        <v>-693295.15005755424</v>
      </c>
      <c r="H33" s="8">
        <f>H31-H27</f>
        <v>-615715.63373087533</v>
      </c>
      <c r="J33" s="14"/>
    </row>
    <row r="34" spans="1:10">
      <c r="A34" s="5"/>
      <c r="B34" s="8"/>
      <c r="C34" s="8"/>
      <c r="D34" s="8"/>
      <c r="E34" s="8"/>
      <c r="F34" s="8"/>
      <c r="G34" s="8"/>
      <c r="H34" s="8"/>
      <c r="J34" s="14"/>
    </row>
    <row r="35" spans="1:10">
      <c r="A35" s="5" t="s">
        <v>16</v>
      </c>
      <c r="C35" s="6"/>
      <c r="D35" s="6">
        <f>D33*(1-0.28)</f>
        <v>-669385.22214837396</v>
      </c>
      <c r="E35" s="6">
        <f>E33*(1-0.28)</f>
        <v>-1106563.2250231176</v>
      </c>
      <c r="F35" s="6">
        <f>F33*(1-0.28)</f>
        <v>-795728.6240956051</v>
      </c>
      <c r="G35" s="6">
        <f>G33*(1-0.28)</f>
        <v>-499172.50804143905</v>
      </c>
      <c r="H35" s="6">
        <f>H33*(1-0.28)</f>
        <v>-443315.25628623023</v>
      </c>
    </row>
    <row r="36" spans="1:10">
      <c r="A36" s="5"/>
      <c r="C36" s="6"/>
      <c r="D36" s="6"/>
      <c r="E36" s="6"/>
      <c r="F36" s="6"/>
      <c r="G36" s="6"/>
      <c r="H36" s="6"/>
    </row>
    <row r="37" spans="1:10">
      <c r="A37" s="23" t="s">
        <v>103</v>
      </c>
      <c r="C37" s="6"/>
      <c r="D37" s="79">
        <f>8.5/12</f>
        <v>0.70833333333333337</v>
      </c>
      <c r="E37" s="43">
        <v>1.5</v>
      </c>
      <c r="F37" s="43">
        <v>2.5</v>
      </c>
      <c r="G37" s="43">
        <v>3.5</v>
      </c>
      <c r="H37" s="43">
        <v>4.5</v>
      </c>
    </row>
    <row r="38" spans="1:10" s="5" customFormat="1">
      <c r="A38" s="5" t="s">
        <v>17</v>
      </c>
      <c r="B38" s="45">
        <f>B19</f>
        <v>9.7589999999999996E-2</v>
      </c>
      <c r="C38" s="8"/>
      <c r="D38" s="8">
        <f>D35/(1+$B$38)^D37</f>
        <v>-626658.62295488431</v>
      </c>
      <c r="E38" s="8">
        <f t="shared" ref="E38:H38" si="3">E35/(1+$B$38)^E37</f>
        <v>-962312.26401954575</v>
      </c>
      <c r="F38" s="8">
        <f t="shared" si="3"/>
        <v>-630470.29148093052</v>
      </c>
      <c r="G38" s="8">
        <f t="shared" si="3"/>
        <v>-360338.08236784837</v>
      </c>
      <c r="H38" s="8">
        <f t="shared" si="3"/>
        <v>-291562.75166427391</v>
      </c>
      <c r="I38" s="15">
        <f>SUM(D38:H38)</f>
        <v>-2871342.0124874827</v>
      </c>
      <c r="J38" s="27"/>
    </row>
    <row r="39" spans="1:10">
      <c r="A39" s="12"/>
      <c r="B39" s="10"/>
      <c r="C39" s="6"/>
      <c r="D39" s="10"/>
      <c r="E39" s="8"/>
      <c r="F39" s="8"/>
      <c r="G39" s="8"/>
      <c r="H39" s="8"/>
      <c r="J39" s="9"/>
    </row>
    <row r="41" spans="1:10">
      <c r="D41" s="10"/>
      <c r="E41" s="10"/>
      <c r="F41" s="10"/>
      <c r="G41" s="10"/>
      <c r="H41" s="10"/>
    </row>
    <row r="42" spans="1:10">
      <c r="A42" t="s">
        <v>33</v>
      </c>
      <c r="C42" s="10"/>
      <c r="D42" s="17">
        <v>2.1000000000000001E-2</v>
      </c>
      <c r="E42" s="17">
        <f>D42</f>
        <v>2.1000000000000001E-2</v>
      </c>
      <c r="F42" s="17">
        <f>E42</f>
        <v>2.1000000000000001E-2</v>
      </c>
      <c r="G42" s="17">
        <f>F42</f>
        <v>2.1000000000000001E-2</v>
      </c>
      <c r="H42" s="17">
        <f>G42</f>
        <v>2.1000000000000001E-2</v>
      </c>
    </row>
    <row r="43" spans="1:10">
      <c r="C43" s="10"/>
      <c r="D43" s="48"/>
      <c r="E43" s="48"/>
      <c r="F43" s="48"/>
      <c r="G43" s="48"/>
      <c r="H43" s="48"/>
      <c r="I43" s="48"/>
    </row>
    <row r="44" spans="1:10">
      <c r="A44" t="s">
        <v>34</v>
      </c>
      <c r="C44" s="10"/>
      <c r="D44" s="19">
        <f>C6*D42</f>
        <v>447.02700000000004</v>
      </c>
      <c r="E44" s="19">
        <f>D6*E42</f>
        <v>456.41456700000009</v>
      </c>
      <c r="F44" s="19">
        <f>E6*F42</f>
        <v>465.99927290700009</v>
      </c>
      <c r="G44" s="19">
        <f>F6*G42</f>
        <v>475.78525763804709</v>
      </c>
      <c r="H44" s="19">
        <f>G6*H42</f>
        <v>485.77674804844605</v>
      </c>
      <c r="I44" s="21">
        <f>SUM(D44:H44)</f>
        <v>2331.0028455934935</v>
      </c>
    </row>
    <row r="45" spans="1:10" ht="25.5">
      <c r="A45" t="s">
        <v>35</v>
      </c>
      <c r="C45" s="10"/>
      <c r="D45" s="19">
        <f>D8*(0.99464*D42)</f>
        <v>266318.81766814279</v>
      </c>
      <c r="E45" s="19">
        <f>E8*(0.993*E42)</f>
        <v>262483.85354008869</v>
      </c>
      <c r="F45" s="19">
        <f>F8*(0.992*F42)</f>
        <v>258015.76103853071</v>
      </c>
      <c r="G45" s="19">
        <f>G8*(0.991*G42)</f>
        <v>253384.07677619613</v>
      </c>
      <c r="H45" s="19">
        <f>H8*(0.991*H42)</f>
        <v>248939.41249899109</v>
      </c>
      <c r="I45" s="21">
        <f>SUM(D45:H45)</f>
        <v>1289141.9215219493</v>
      </c>
      <c r="J45" s="2" t="s">
        <v>104</v>
      </c>
    </row>
    <row r="46" spans="1:10">
      <c r="A46" t="s">
        <v>111</v>
      </c>
      <c r="C46" s="10"/>
      <c r="D46" s="19">
        <f>SUM(D44:D45)</f>
        <v>266765.84466814279</v>
      </c>
      <c r="E46" s="19">
        <f t="shared" ref="E46:H46" si="4">SUM(E44:E45)</f>
        <v>262940.26810708869</v>
      </c>
      <c r="F46" s="19">
        <f t="shared" si="4"/>
        <v>258481.76031143771</v>
      </c>
      <c r="G46" s="19">
        <f t="shared" si="4"/>
        <v>253859.86203383419</v>
      </c>
      <c r="H46" s="19">
        <f t="shared" si="4"/>
        <v>249425.18924703953</v>
      </c>
    </row>
    <row r="47" spans="1:10">
      <c r="C47" s="10"/>
      <c r="D47" s="19"/>
      <c r="E47" s="19"/>
      <c r="F47" s="19"/>
      <c r="G47" s="19"/>
      <c r="H47" s="19"/>
    </row>
    <row r="48" spans="1:10">
      <c r="A48" t="s">
        <v>36</v>
      </c>
      <c r="B48" s="19">
        <v>2660</v>
      </c>
      <c r="C48" s="10">
        <f>B19/(1-0.28)</f>
        <v>0.13554166666666667</v>
      </c>
      <c r="D48" s="19">
        <f>-PMT($C$48,5,$B$48,0)</f>
        <v>766.52868637230847</v>
      </c>
      <c r="E48" s="19">
        <f>-PMT($C$48,5,$B$48,0)</f>
        <v>766.52868637230847</v>
      </c>
      <c r="F48" s="19">
        <f>-PMT($C$48,5,$B$48,0)</f>
        <v>766.52868637230847</v>
      </c>
      <c r="G48" s="19">
        <f>-PMT($C$48,5,$B$48,0)</f>
        <v>766.52868637230847</v>
      </c>
      <c r="H48" s="19">
        <f>-PMT($C$48,5,$B$48,0)</f>
        <v>766.52868637230847</v>
      </c>
      <c r="I48" s="21">
        <f>SUM(D48:H48)</f>
        <v>3832.6434318615425</v>
      </c>
      <c r="J48" s="2" t="s">
        <v>47</v>
      </c>
    </row>
    <row r="49" spans="1:10">
      <c r="A49" t="s">
        <v>52</v>
      </c>
      <c r="B49" s="19"/>
      <c r="C49" s="10"/>
      <c r="D49" s="19">
        <f>D46+D48</f>
        <v>267532.37335451512</v>
      </c>
      <c r="E49" s="19">
        <f t="shared" ref="E49:H49" si="5">E46+E48</f>
        <v>263706.79679346102</v>
      </c>
      <c r="F49" s="19">
        <f t="shared" si="5"/>
        <v>259248.28899781001</v>
      </c>
      <c r="G49" s="19">
        <f t="shared" si="5"/>
        <v>254626.39072020649</v>
      </c>
      <c r="H49" s="19">
        <f t="shared" si="5"/>
        <v>250191.71793341183</v>
      </c>
      <c r="I49" s="21">
        <f>SUM(D49:H49)</f>
        <v>1295305.5677994043</v>
      </c>
    </row>
    <row r="50" spans="1:10">
      <c r="C50" s="26"/>
      <c r="D50" s="26"/>
      <c r="E50" s="26"/>
      <c r="F50" s="26"/>
      <c r="G50" s="26"/>
      <c r="H50" s="26"/>
    </row>
    <row r="51" spans="1:10">
      <c r="A51" t="s">
        <v>75</v>
      </c>
      <c r="C51" s="6">
        <v>974603</v>
      </c>
      <c r="D51" s="21">
        <f>C51*(1+D52)</f>
        <v>1038344.9600090001</v>
      </c>
      <c r="E51" s="21">
        <f>D51*(1+E52)</f>
        <v>1094822.6190738096</v>
      </c>
      <c r="F51" s="21">
        <f>E51*(1+F52)</f>
        <v>1096288.5865607494</v>
      </c>
      <c r="G51" s="21">
        <f>F51*(1+G52)</f>
        <v>1104464.7068393196</v>
      </c>
      <c r="H51" s="21">
        <f>G51*(1+H52)</f>
        <v>1117307.9746828007</v>
      </c>
      <c r="J51" s="2" t="s">
        <v>26</v>
      </c>
    </row>
    <row r="52" spans="1:10">
      <c r="A52" t="s">
        <v>76</v>
      </c>
      <c r="C52" s="10"/>
      <c r="D52" s="20">
        <v>6.5403000000000003E-2</v>
      </c>
      <c r="E52" s="20">
        <v>5.4392000000000003E-2</v>
      </c>
      <c r="F52" s="20">
        <v>1.3389999999999999E-3</v>
      </c>
      <c r="G52" s="20">
        <v>7.4580000000000002E-3</v>
      </c>
      <c r="H52" s="20">
        <v>1.16285E-2</v>
      </c>
      <c r="I52" s="10">
        <f>SUM(D52:H52)</f>
        <v>0.14022050000000003</v>
      </c>
      <c r="J52" s="2" t="s">
        <v>26</v>
      </c>
    </row>
    <row r="53" spans="1:10">
      <c r="A53" t="s">
        <v>77</v>
      </c>
      <c r="C53" s="22">
        <v>1.62</v>
      </c>
      <c r="D53" s="22">
        <f>C53*(1+D54)</f>
        <v>1.86</v>
      </c>
      <c r="E53" s="22">
        <f>D53*(1+E54)</f>
        <v>1.89906</v>
      </c>
      <c r="F53" s="22">
        <f>E53*(1+F54)</f>
        <v>2.3057408504100003</v>
      </c>
      <c r="G53" s="22">
        <f>F53*(1+G54)</f>
        <v>2.6725392577636482</v>
      </c>
      <c r="H53" s="22">
        <f>G53*(1+H54)</f>
        <v>2.7286625821766846</v>
      </c>
    </row>
    <row r="54" spans="1:10">
      <c r="A54" t="s">
        <v>78</v>
      </c>
      <c r="D54" s="16">
        <v>0.14814814814814814</v>
      </c>
      <c r="E54" s="18">
        <v>2.1000000000000001E-2</v>
      </c>
      <c r="F54" s="18">
        <v>0.21414849999999999</v>
      </c>
      <c r="G54" s="18">
        <v>0.15908050000000001</v>
      </c>
      <c r="H54" s="18">
        <v>2.1000000000000001E-2</v>
      </c>
      <c r="J54" s="2" t="s">
        <v>26</v>
      </c>
    </row>
    <row r="55" spans="1:10">
      <c r="D55" s="10"/>
      <c r="E55" s="10"/>
      <c r="F55" s="10"/>
      <c r="G55" s="10"/>
      <c r="H55" s="10"/>
    </row>
    <row r="56" spans="1:10">
      <c r="C56" s="6"/>
      <c r="D56" s="46"/>
      <c r="E56" s="6"/>
      <c r="F56" s="6"/>
      <c r="G56" s="6"/>
      <c r="H56" s="6"/>
    </row>
    <row r="57" spans="1:10">
      <c r="D57" s="20"/>
      <c r="E57" s="20"/>
      <c r="F57" s="20"/>
      <c r="G57" s="20"/>
      <c r="H57" s="20"/>
    </row>
    <row r="58" spans="1:10">
      <c r="A58" s="5" t="s">
        <v>49</v>
      </c>
    </row>
    <row r="59" spans="1:10">
      <c r="A59" t="s">
        <v>38</v>
      </c>
      <c r="C59" s="26"/>
      <c r="D59" s="60">
        <v>923282.83255221299</v>
      </c>
      <c r="E59" s="58">
        <v>1677369.5837722076</v>
      </c>
      <c r="F59" s="58">
        <v>1709991.8642557396</v>
      </c>
      <c r="G59" s="58">
        <v>1745928.2656276373</v>
      </c>
      <c r="H59" s="58">
        <v>1782653.6330009568</v>
      </c>
      <c r="I59" s="26">
        <f t="shared" ref="I59:I64" si="6">SUM(D59:H59)</f>
        <v>7839226.1792087546</v>
      </c>
    </row>
    <row r="60" spans="1:10">
      <c r="A60" t="s">
        <v>39</v>
      </c>
      <c r="C60" s="26"/>
      <c r="D60" s="60">
        <v>286034.03446809429</v>
      </c>
      <c r="E60" s="58">
        <v>506953.94339823705</v>
      </c>
      <c r="F60" s="58">
        <v>514631.19068305503</v>
      </c>
      <c r="G60" s="58">
        <v>514803.52590702625</v>
      </c>
      <c r="H60" s="58">
        <v>521593.20504056668</v>
      </c>
      <c r="I60" s="26">
        <f t="shared" si="6"/>
        <v>2344015.8994969791</v>
      </c>
    </row>
    <row r="61" spans="1:10">
      <c r="A61" t="s">
        <v>40</v>
      </c>
      <c r="C61" s="26"/>
      <c r="D61" s="60">
        <v>1003376.4061025534</v>
      </c>
      <c r="E61" s="58">
        <v>1695422.9335316701</v>
      </c>
      <c r="F61" s="58">
        <v>1667573.5235127467</v>
      </c>
      <c r="G61" s="58">
        <v>1638927.532164182</v>
      </c>
      <c r="H61" s="58">
        <v>1610428.974025937</v>
      </c>
      <c r="I61" s="26">
        <f t="shared" si="6"/>
        <v>7615729.3693370894</v>
      </c>
    </row>
    <row r="62" spans="1:10">
      <c r="A62" t="s">
        <v>41</v>
      </c>
      <c r="C62" s="26"/>
      <c r="D62" s="60">
        <v>-155612.72100692097</v>
      </c>
      <c r="E62" s="58">
        <v>-262941.80838121765</v>
      </c>
      <c r="F62" s="58">
        <v>-258480.50966728746</v>
      </c>
      <c r="G62" s="58">
        <v>-253867.59653544964</v>
      </c>
      <c r="H62" s="58">
        <v>-249413.20948661104</v>
      </c>
      <c r="I62" s="26">
        <f t="shared" si="6"/>
        <v>-1180315.8450774867</v>
      </c>
    </row>
    <row r="63" spans="1:10">
      <c r="A63" t="s">
        <v>42</v>
      </c>
      <c r="C63" s="26"/>
      <c r="D63" s="58">
        <v>-766.53054105700573</v>
      </c>
      <c r="E63" s="58">
        <v>-766.53054105700573</v>
      </c>
      <c r="F63" s="58">
        <v>-766.53054105700573</v>
      </c>
      <c r="G63" s="58">
        <v>-766.53054105700573</v>
      </c>
      <c r="H63" s="58">
        <v>-766.53054105700573</v>
      </c>
      <c r="I63" s="26">
        <f t="shared" si="6"/>
        <v>-3832.6527052850288</v>
      </c>
    </row>
    <row r="64" spans="1:10">
      <c r="A64" t="s">
        <v>43</v>
      </c>
      <c r="C64" s="26"/>
      <c r="D64" s="61">
        <v>2056314.0215748826</v>
      </c>
      <c r="E64" s="61">
        <v>3616038.12177984</v>
      </c>
      <c r="F64" s="61">
        <v>3632949.5382431964</v>
      </c>
      <c r="G64" s="61">
        <v>3645025.1966223386</v>
      </c>
      <c r="H64" s="61">
        <v>3664496.0720397918</v>
      </c>
      <c r="I64" s="26">
        <f t="shared" si="6"/>
        <v>16614822.950260049</v>
      </c>
    </row>
    <row r="65" spans="1:9">
      <c r="D65" s="6"/>
    </row>
    <row r="66" spans="1:9">
      <c r="C66" s="26"/>
      <c r="D66" s="26"/>
      <c r="E66" s="26"/>
      <c r="F66" s="26"/>
      <c r="G66" s="26"/>
      <c r="H66" s="26"/>
      <c r="I66" s="26"/>
    </row>
    <row r="67" spans="1:9">
      <c r="C67" s="26"/>
      <c r="D67" s="39"/>
      <c r="E67" s="39"/>
      <c r="F67" s="39"/>
      <c r="G67" s="39"/>
      <c r="H67" s="39"/>
    </row>
    <row r="68" spans="1:9">
      <c r="C68" s="26"/>
      <c r="D68" s="39"/>
      <c r="E68" s="39"/>
      <c r="F68" s="39"/>
      <c r="G68" s="39"/>
      <c r="H68" s="39"/>
    </row>
    <row r="69" spans="1:9">
      <c r="C69" s="26"/>
      <c r="D69" s="40"/>
      <c r="E69" s="40"/>
      <c r="F69" s="40"/>
      <c r="G69" s="40"/>
      <c r="H69" s="40"/>
    </row>
    <row r="70" spans="1:9" ht="12" customHeight="1">
      <c r="A70" s="5"/>
      <c r="C70" s="26"/>
      <c r="D70" s="26"/>
      <c r="E70" s="26"/>
      <c r="F70" s="26"/>
      <c r="G70" s="26"/>
      <c r="H70" s="26"/>
    </row>
    <row r="71" spans="1:9">
      <c r="C71" s="26"/>
      <c r="D71" s="40"/>
      <c r="E71" s="40"/>
      <c r="F71" s="40"/>
      <c r="G71" s="40"/>
      <c r="H71" s="40"/>
    </row>
    <row r="94" spans="1:8">
      <c r="A94" s="5"/>
    </row>
    <row r="95" spans="1:8">
      <c r="D95" s="10"/>
      <c r="E95" s="10"/>
      <c r="F95" s="10"/>
      <c r="G95" s="10"/>
      <c r="H95" s="10"/>
    </row>
    <row r="96" spans="1:8">
      <c r="A96" s="5"/>
      <c r="D96" s="6"/>
      <c r="E96" s="6"/>
      <c r="F96" s="6"/>
      <c r="G96" s="6"/>
      <c r="H96" s="6"/>
    </row>
    <row r="97" spans="4:8">
      <c r="D97" s="6"/>
      <c r="E97" s="6"/>
      <c r="F97" s="6"/>
      <c r="G97" s="6"/>
      <c r="H97" s="6"/>
    </row>
    <row r="99" spans="4:8">
      <c r="D99" s="6"/>
      <c r="E99" s="6"/>
      <c r="F99" s="6"/>
      <c r="G99" s="6"/>
      <c r="H99" s="6"/>
    </row>
    <row r="101" spans="4:8">
      <c r="D101" s="6"/>
      <c r="E101" s="6"/>
      <c r="F101" s="6"/>
      <c r="G101" s="6"/>
      <c r="H101" s="6"/>
    </row>
    <row r="102" spans="4:8">
      <c r="D102" s="6"/>
    </row>
    <row r="103" spans="4:8">
      <c r="D103" s="6"/>
    </row>
    <row r="104" spans="4:8">
      <c r="D104" s="6"/>
    </row>
  </sheetData>
  <printOptions gridLines="1"/>
  <pageMargins left="0.74803149606299213" right="0.74803149606299213" top="0.98425196850393704" bottom="0.98425196850393704" header="0.51181102362204722" footer="0.51181102362204722"/>
  <pageSetup paperSize="9" scale="49" orientation="landscape" verticalDpi="0" r:id="rId1"/>
  <headerFooter alignWithMargins="0">
    <oddFooter>&amp;LBARNZ ALTERNATIVE REVENUE MODELLING&amp;C &amp;RSEPTMBER 2012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4"/>
  <sheetViews>
    <sheetView zoomScaleNormal="100" workbookViewId="0">
      <pane ySplit="4" topLeftCell="A13" activePane="bottomLeft" state="frozenSplit"/>
      <selection pane="bottomLeft" activeCell="D37" sqref="D37"/>
    </sheetView>
  </sheetViews>
  <sheetFormatPr defaultRowHeight="12.75"/>
  <cols>
    <col min="1" max="1" width="40.42578125" customWidth="1"/>
    <col min="2" max="9" width="13.7109375" customWidth="1"/>
    <col min="10" max="10" width="115.7109375" style="2" customWidth="1"/>
  </cols>
  <sheetData>
    <row r="1" spans="1:10" ht="18">
      <c r="A1" s="1" t="s">
        <v>115</v>
      </c>
    </row>
    <row r="3" spans="1:10" ht="18">
      <c r="A3" s="1" t="s">
        <v>96</v>
      </c>
      <c r="B3" s="3"/>
      <c r="C3" s="3"/>
      <c r="D3" s="73" t="s">
        <v>108</v>
      </c>
    </row>
    <row r="4" spans="1:10">
      <c r="B4" s="3"/>
      <c r="C4" s="4">
        <v>2012</v>
      </c>
      <c r="D4" s="4">
        <v>2013</v>
      </c>
      <c r="E4" s="4">
        <v>2014</v>
      </c>
      <c r="F4" s="4">
        <v>2015</v>
      </c>
      <c r="G4" s="4">
        <v>2016</v>
      </c>
      <c r="H4" s="4">
        <v>2017</v>
      </c>
      <c r="I4" s="4" t="s">
        <v>1</v>
      </c>
      <c r="J4" s="27" t="s">
        <v>46</v>
      </c>
    </row>
    <row r="5" spans="1:10">
      <c r="A5" s="5" t="s">
        <v>2</v>
      </c>
    </row>
    <row r="6" spans="1:10">
      <c r="A6" t="s">
        <v>121</v>
      </c>
      <c r="C6" s="6">
        <v>21287</v>
      </c>
      <c r="D6" s="6">
        <f>C6+D44</f>
        <v>21734.027000000002</v>
      </c>
      <c r="E6" s="6">
        <f>D6+E44</f>
        <v>22190.441567000002</v>
      </c>
      <c r="F6" s="6">
        <f>E6+F44</f>
        <v>22656.440839907002</v>
      </c>
      <c r="G6" s="6">
        <f>F6+G44</f>
        <v>23132.226097545048</v>
      </c>
      <c r="H6" s="6">
        <f>G6+H44</f>
        <v>23618.002845593495</v>
      </c>
    </row>
    <row r="7" spans="1:10">
      <c r="C7" s="6"/>
      <c r="D7" s="6"/>
      <c r="E7" s="6"/>
      <c r="F7" s="6"/>
      <c r="G7" s="6"/>
      <c r="H7" s="6"/>
    </row>
    <row r="8" spans="1:10">
      <c r="A8" t="s">
        <v>3</v>
      </c>
      <c r="C8" s="6"/>
      <c r="D8" s="6">
        <f>C13</f>
        <v>12230189.475979</v>
      </c>
      <c r="E8" s="6">
        <f>D13</f>
        <v>12056481.049786711</v>
      </c>
      <c r="F8" s="6">
        <f>E13</f>
        <v>11843617.681989707</v>
      </c>
      <c r="G8" s="6">
        <f>F13</f>
        <v>11622266.767691584</v>
      </c>
      <c r="H8" s="6">
        <f>G13</f>
        <v>11397180.849232445</v>
      </c>
    </row>
    <row r="9" spans="1:10">
      <c r="A9" t="s">
        <v>4</v>
      </c>
      <c r="C9" s="24"/>
      <c r="D9" s="6">
        <v>-490344.05908816197</v>
      </c>
      <c r="E9" s="6">
        <v>-506953.943398237</v>
      </c>
      <c r="F9" s="6">
        <v>-514631.19068305503</v>
      </c>
      <c r="G9" s="6">
        <v>-514803.52590702602</v>
      </c>
      <c r="H9" s="6">
        <v>-521593.20504056697</v>
      </c>
    </row>
    <row r="10" spans="1:10">
      <c r="A10" t="s">
        <v>54</v>
      </c>
      <c r="C10" s="26">
        <v>0</v>
      </c>
      <c r="D10" s="25"/>
      <c r="E10" s="25"/>
      <c r="F10" s="25"/>
      <c r="G10" s="25"/>
      <c r="H10" s="25"/>
    </row>
    <row r="11" spans="1:10">
      <c r="A11" t="s">
        <v>5</v>
      </c>
      <c r="C11" s="32"/>
      <c r="D11" s="7">
        <v>61178.284027728623</v>
      </c>
      <c r="E11" s="7">
        <v>42676.776270029201</v>
      </c>
      <c r="F11" s="7">
        <v>46554.03283372258</v>
      </c>
      <c r="G11" s="7">
        <v>47846.61374545638</v>
      </c>
      <c r="H11" s="7">
        <v>64758.798304740121</v>
      </c>
      <c r="J11" s="24"/>
    </row>
    <row r="12" spans="1:10">
      <c r="A12" t="s">
        <v>37</v>
      </c>
      <c r="C12" s="7"/>
      <c r="D12" s="7">
        <f>D45</f>
        <v>255457.34886814281</v>
      </c>
      <c r="E12" s="7">
        <f>E45</f>
        <v>251413.79933120229</v>
      </c>
      <c r="F12" s="7">
        <f>F45</f>
        <v>246726.24355120957</v>
      </c>
      <c r="G12" s="7">
        <f>G45</f>
        <v>241870.99370242955</v>
      </c>
      <c r="H12" s="7">
        <f>H45</f>
        <v>237186.73065337641</v>
      </c>
    </row>
    <row r="13" spans="1:10" ht="12.75" customHeight="1">
      <c r="A13" t="s">
        <v>6</v>
      </c>
      <c r="C13" s="6">
        <f>12771476.475979-C6-(6500000*0.08)</f>
        <v>12230189.475979</v>
      </c>
      <c r="D13" s="6">
        <f>SUM(D8:D12)</f>
        <v>12056481.049786711</v>
      </c>
      <c r="E13" s="6">
        <f>SUM(E8:E12)</f>
        <v>11843617.681989707</v>
      </c>
      <c r="F13" s="6">
        <f>SUM(F8:F12)</f>
        <v>11622266.767691584</v>
      </c>
      <c r="G13" s="6">
        <f>SUM(G8:G12)</f>
        <v>11397180.849232445</v>
      </c>
      <c r="H13" s="6">
        <f>SUM(H8:H12)</f>
        <v>11177533.173149996</v>
      </c>
      <c r="J13" s="2" t="s">
        <v>126</v>
      </c>
    </row>
    <row r="14" spans="1:10">
      <c r="C14" s="6"/>
      <c r="D14" s="6"/>
      <c r="E14" s="6"/>
      <c r="F14" s="6"/>
      <c r="G14" s="6"/>
      <c r="H14" s="6"/>
    </row>
    <row r="15" spans="1:10">
      <c r="A15" s="5" t="s">
        <v>7</v>
      </c>
      <c r="B15" s="8"/>
      <c r="C15" s="8">
        <f t="shared" ref="C15:H15" si="0">C6+C13</f>
        <v>12251476.475979</v>
      </c>
      <c r="D15" s="8">
        <f t="shared" si="0"/>
        <v>12078215.076786712</v>
      </c>
      <c r="E15" s="8">
        <f t="shared" si="0"/>
        <v>11865808.123556707</v>
      </c>
      <c r="F15" s="8">
        <f t="shared" si="0"/>
        <v>11644923.208531491</v>
      </c>
      <c r="G15" s="8">
        <f t="shared" si="0"/>
        <v>11420313.075329989</v>
      </c>
      <c r="H15" s="8">
        <f t="shared" si="0"/>
        <v>11201151.175995588</v>
      </c>
    </row>
    <row r="16" spans="1:10">
      <c r="A16" s="5"/>
      <c r="B16" s="8"/>
      <c r="C16" s="28"/>
      <c r="D16" s="28"/>
      <c r="E16" s="28"/>
      <c r="F16" s="28"/>
      <c r="G16" s="28"/>
      <c r="H16" s="28"/>
    </row>
    <row r="17" spans="1:10">
      <c r="A17" s="5" t="s">
        <v>8</v>
      </c>
      <c r="B17" s="8"/>
      <c r="C17" s="8"/>
      <c r="D17" s="8">
        <f>(C15+D15)/2</f>
        <v>12164845.776382856</v>
      </c>
      <c r="E17" s="8">
        <f>(D15+E15)/2</f>
        <v>11972011.600171709</v>
      </c>
      <c r="F17" s="8">
        <f>(E15+F15)/2</f>
        <v>11755365.666044099</v>
      </c>
      <c r="G17" s="8">
        <f>(F15+G15)/2</f>
        <v>11532618.14193074</v>
      </c>
      <c r="H17" s="8">
        <f>(G15+H15)/2</f>
        <v>11310732.125662789</v>
      </c>
      <c r="J17" s="9"/>
    </row>
    <row r="18" spans="1:10">
      <c r="A18" s="5"/>
      <c r="B18" s="8"/>
      <c r="C18" s="8"/>
      <c r="D18" s="28"/>
      <c r="E18" s="28"/>
      <c r="F18" s="28"/>
      <c r="G18" s="28"/>
      <c r="H18" s="28"/>
    </row>
    <row r="19" spans="1:10">
      <c r="A19" t="s">
        <v>9</v>
      </c>
      <c r="B19" s="16">
        <f>Summary!B37</f>
        <v>8.0699999999999994E-2</v>
      </c>
      <c r="C19" s="10"/>
      <c r="D19" s="10">
        <f>$B$19</f>
        <v>8.0699999999999994E-2</v>
      </c>
      <c r="E19" s="10">
        <f>$B$19</f>
        <v>8.0699999999999994E-2</v>
      </c>
      <c r="F19" s="10">
        <f>$B$19</f>
        <v>8.0699999999999994E-2</v>
      </c>
      <c r="G19" s="10">
        <f>$B$19</f>
        <v>8.0699999999999994E-2</v>
      </c>
      <c r="H19" s="10">
        <f>$B$19</f>
        <v>8.0699999999999994E-2</v>
      </c>
    </row>
    <row r="20" spans="1:10">
      <c r="A20" s="5" t="s">
        <v>10</v>
      </c>
      <c r="B20" s="5"/>
      <c r="C20" s="8"/>
      <c r="D20" s="74">
        <f>D17*D19/12*7</f>
        <v>572660.11492322292</v>
      </c>
      <c r="E20" s="8">
        <f>E17*E19</f>
        <v>966141.33613385691</v>
      </c>
      <c r="F20" s="8">
        <f>F17*F19</f>
        <v>948658.00924975879</v>
      </c>
      <c r="G20" s="8">
        <f>G17*G19</f>
        <v>930682.28405381064</v>
      </c>
      <c r="H20" s="8">
        <f>H17*H19</f>
        <v>912776.08254098694</v>
      </c>
      <c r="I20" s="8">
        <f>SUM(D20:H20)</f>
        <v>4330917.8269016361</v>
      </c>
    </row>
    <row r="21" spans="1:10">
      <c r="C21" s="6"/>
    </row>
    <row r="22" spans="1:10">
      <c r="A22" t="s">
        <v>11</v>
      </c>
      <c r="C22" s="6"/>
      <c r="D22" s="76">
        <f>1582770.57008951/12*7</f>
        <v>923282.83255221404</v>
      </c>
      <c r="E22" s="26">
        <v>1677369.5837722076</v>
      </c>
      <c r="F22" s="26">
        <v>1709991.8642557396</v>
      </c>
      <c r="G22" s="26">
        <v>1745928.2656276373</v>
      </c>
      <c r="H22" s="26">
        <v>1782653.6330009568</v>
      </c>
      <c r="I22" s="8">
        <f>SUM(D22:H22)</f>
        <v>7839226.1792087555</v>
      </c>
    </row>
    <row r="23" spans="1:10">
      <c r="A23" t="s">
        <v>4</v>
      </c>
      <c r="C23" s="26"/>
      <c r="D23" s="76">
        <f>-D9/12*7</f>
        <v>286034.03446809447</v>
      </c>
      <c r="E23" s="26">
        <f>-E9</f>
        <v>506953.943398237</v>
      </c>
      <c r="F23" s="26">
        <f>-F9</f>
        <v>514631.19068305503</v>
      </c>
      <c r="G23" s="26">
        <f>-G9</f>
        <v>514803.52590702602</v>
      </c>
      <c r="H23" s="26">
        <f>-H9</f>
        <v>521593.20504056697</v>
      </c>
      <c r="I23" s="8">
        <f>SUM(D23:H23)</f>
        <v>2344015.8994969795</v>
      </c>
    </row>
    <row r="24" spans="1:10" ht="12.75" customHeight="1">
      <c r="A24" t="s">
        <v>12</v>
      </c>
      <c r="C24" s="6"/>
      <c r="D24" s="75">
        <f>((D20-D25)+(D23*0.34))*0.28/(1-0.28)</f>
        <v>160743.28162101697</v>
      </c>
      <c r="E24" s="6">
        <f t="shared" ref="E24:H24" si="1">((E20-E25)+(E23*0.34))*0.28/(1-0.28)</f>
        <v>344543.11859422596</v>
      </c>
      <c r="F24" s="6">
        <f t="shared" si="1"/>
        <v>340578.36069799151</v>
      </c>
      <c r="G24" s="6">
        <f t="shared" si="1"/>
        <v>335494.93450408912</v>
      </c>
      <c r="H24" s="6">
        <f t="shared" si="1"/>
        <v>331246.93042956467</v>
      </c>
      <c r="I24" s="8">
        <f>SUM(D24:H24)</f>
        <v>1512606.6258468884</v>
      </c>
      <c r="J24" s="11" t="s">
        <v>117</v>
      </c>
    </row>
    <row r="25" spans="1:10">
      <c r="A25" s="23" t="s">
        <v>44</v>
      </c>
      <c r="C25" s="6"/>
      <c r="D25" s="6">
        <f>D44+D45+D48</f>
        <v>256571.81961690291</v>
      </c>
      <c r="E25" s="6">
        <f>E44+E45+E48</f>
        <v>252537.65764696238</v>
      </c>
      <c r="F25" s="6">
        <f>F44+F45+F48</f>
        <v>247859.68657287667</v>
      </c>
      <c r="G25" s="6">
        <f>G44+G45+G48</f>
        <v>243014.2227088277</v>
      </c>
      <c r="H25" s="6">
        <f>H44+H45+H48</f>
        <v>238339.95115018493</v>
      </c>
      <c r="I25" s="8">
        <f>SUM(D25:H25)</f>
        <v>1238323.3376957546</v>
      </c>
      <c r="J25" s="11"/>
    </row>
    <row r="26" spans="1:10">
      <c r="C26" s="6"/>
      <c r="D26" s="6"/>
      <c r="E26" s="6"/>
      <c r="F26" s="6"/>
      <c r="G26" s="6"/>
      <c r="H26" s="6"/>
    </row>
    <row r="27" spans="1:10">
      <c r="A27" s="5" t="s">
        <v>13</v>
      </c>
      <c r="B27" s="8"/>
      <c r="C27" s="8"/>
      <c r="D27" s="74">
        <f t="shared" ref="D27:I27" si="2">D20+D22+D23+D24-D25</f>
        <v>1686148.4439476456</v>
      </c>
      <c r="E27" s="8">
        <f t="shared" si="2"/>
        <v>3242470.3242515647</v>
      </c>
      <c r="F27" s="8">
        <f t="shared" si="2"/>
        <v>3265999.7383136684</v>
      </c>
      <c r="G27" s="8">
        <f t="shared" si="2"/>
        <v>3283894.7873837352</v>
      </c>
      <c r="H27" s="8">
        <f t="shared" si="2"/>
        <v>3309929.8998618908</v>
      </c>
      <c r="I27" s="8">
        <f t="shared" si="2"/>
        <v>14788443.193758506</v>
      </c>
    </row>
    <row r="28" spans="1:10">
      <c r="C28" s="6"/>
      <c r="D28" s="71"/>
      <c r="E28" s="71"/>
      <c r="F28" s="71"/>
      <c r="G28" s="71"/>
      <c r="H28" s="71"/>
    </row>
    <row r="29" spans="1:10" ht="12.75" customHeight="1">
      <c r="A29" t="s">
        <v>74</v>
      </c>
      <c r="C29" s="6">
        <f>C51*C53</f>
        <v>1578856.86</v>
      </c>
      <c r="D29" s="75">
        <f>D51*D53/12*7</f>
        <v>1126604.2816097653</v>
      </c>
      <c r="E29" s="6">
        <f>E51*E53</f>
        <v>2079133.8429783089</v>
      </c>
      <c r="F29" s="6">
        <f>F51*F53</f>
        <v>2527757.3778713597</v>
      </c>
      <c r="G29" s="6">
        <f>G51*G53</f>
        <v>2951725.2878425005</v>
      </c>
      <c r="H29" s="6">
        <f>H51*H53</f>
        <v>3048756.4632845726</v>
      </c>
      <c r="I29" s="13">
        <f>SUM(D29:H29)</f>
        <v>11733977.253586506</v>
      </c>
    </row>
    <row r="30" spans="1:10">
      <c r="A30" t="s">
        <v>14</v>
      </c>
      <c r="C30" s="41">
        <v>0</v>
      </c>
      <c r="D30" s="78">
        <v>0</v>
      </c>
      <c r="E30" s="41">
        <v>0</v>
      </c>
      <c r="F30" s="41">
        <v>0</v>
      </c>
      <c r="G30" s="41">
        <v>0</v>
      </c>
      <c r="H30" s="41">
        <v>0</v>
      </c>
      <c r="I30" s="13"/>
    </row>
    <row r="31" spans="1:10">
      <c r="A31" s="5" t="s">
        <v>15</v>
      </c>
      <c r="B31" s="5"/>
      <c r="C31" s="8">
        <f t="shared" ref="C31:H31" si="3">SUM(C29:C30)</f>
        <v>1578856.86</v>
      </c>
      <c r="D31" s="74">
        <f t="shared" si="3"/>
        <v>1126604.2816097653</v>
      </c>
      <c r="E31" s="8">
        <f t="shared" si="3"/>
        <v>2079133.8429783089</v>
      </c>
      <c r="F31" s="8">
        <f t="shared" si="3"/>
        <v>2527757.3778713597</v>
      </c>
      <c r="G31" s="8">
        <f t="shared" si="3"/>
        <v>2951725.2878425005</v>
      </c>
      <c r="H31" s="8">
        <f t="shared" si="3"/>
        <v>3048756.4632845726</v>
      </c>
      <c r="I31" s="8">
        <f>SUM(D31:H31)</f>
        <v>11733977.253586506</v>
      </c>
    </row>
    <row r="32" spans="1:10">
      <c r="A32" s="5"/>
      <c r="B32" s="5"/>
      <c r="C32" s="8"/>
      <c r="D32" s="30"/>
      <c r="E32" s="30"/>
      <c r="F32" s="30"/>
      <c r="G32" s="30"/>
      <c r="H32" s="30"/>
      <c r="I32" s="42"/>
    </row>
    <row r="33" spans="1:10">
      <c r="A33" s="5" t="s">
        <v>50</v>
      </c>
      <c r="B33" s="8"/>
      <c r="C33" s="8"/>
      <c r="D33" s="8">
        <f>D31-D27</f>
        <v>-559544.16233788035</v>
      </c>
      <c r="E33" s="8">
        <f>E31-E27</f>
        <v>-1163336.4812732558</v>
      </c>
      <c r="F33" s="8">
        <f>F31-F27</f>
        <v>-738242.36044230871</v>
      </c>
      <c r="G33" s="8">
        <f>G31-G27</f>
        <v>-332169.49954123469</v>
      </c>
      <c r="H33" s="8">
        <f>H31-H27</f>
        <v>-261173.43657731824</v>
      </c>
      <c r="J33" s="14"/>
    </row>
    <row r="34" spans="1:10">
      <c r="A34" s="5"/>
      <c r="B34" s="8"/>
      <c r="C34" s="8"/>
      <c r="D34" s="8"/>
      <c r="E34" s="8"/>
      <c r="F34" s="8"/>
      <c r="G34" s="8"/>
      <c r="H34" s="8"/>
      <c r="J34" s="14"/>
    </row>
    <row r="35" spans="1:10">
      <c r="A35" s="5" t="s">
        <v>16</v>
      </c>
      <c r="C35" s="6"/>
      <c r="D35" s="6">
        <f>D33*(1-0.28)</f>
        <v>-402871.79688327381</v>
      </c>
      <c r="E35" s="6">
        <f>E33*(1-0.28)</f>
        <v>-837602.26651674416</v>
      </c>
      <c r="F35" s="6">
        <f>F33*(1-0.28)</f>
        <v>-531534.49951846222</v>
      </c>
      <c r="G35" s="6">
        <f>G33*(1-0.28)</f>
        <v>-239162.03966968897</v>
      </c>
      <c r="H35" s="6">
        <f>H33*(1-0.28)</f>
        <v>-188044.87433566913</v>
      </c>
    </row>
    <row r="36" spans="1:10">
      <c r="A36" s="5"/>
      <c r="C36" s="6"/>
      <c r="D36" s="6"/>
      <c r="E36" s="6"/>
      <c r="F36" s="6"/>
      <c r="G36" s="6"/>
      <c r="H36" s="6"/>
    </row>
    <row r="37" spans="1:10">
      <c r="A37" s="23" t="s">
        <v>103</v>
      </c>
      <c r="C37" s="6"/>
      <c r="D37" s="79">
        <f>8.5/12</f>
        <v>0.70833333333333337</v>
      </c>
      <c r="E37" s="43">
        <v>1.5</v>
      </c>
      <c r="F37" s="43">
        <v>2.5</v>
      </c>
      <c r="G37" s="43">
        <v>3.5</v>
      </c>
      <c r="H37" s="43">
        <v>4.5</v>
      </c>
    </row>
    <row r="38" spans="1:10" s="5" customFormat="1">
      <c r="A38" s="5" t="s">
        <v>17</v>
      </c>
      <c r="B38" s="45">
        <f>B19</f>
        <v>8.0699999999999994E-2</v>
      </c>
      <c r="C38" s="8"/>
      <c r="D38" s="8">
        <f>D35/(1+$B$38)^D37</f>
        <v>-381322.45754240884</v>
      </c>
      <c r="E38" s="8">
        <f t="shared" ref="E38:H38" si="4">E35/(1+$B$38)^E37</f>
        <v>-745555.73739526037</v>
      </c>
      <c r="F38" s="8">
        <f t="shared" si="4"/>
        <v>-437792.76409856591</v>
      </c>
      <c r="G38" s="8">
        <f t="shared" si="4"/>
        <v>-182273.78771356028</v>
      </c>
      <c r="H38" s="8">
        <f t="shared" si="4"/>
        <v>-132613.67745374714</v>
      </c>
      <c r="I38" s="15">
        <f>SUM(D38:H38)</f>
        <v>-1879558.4242035425</v>
      </c>
      <c r="J38" s="27"/>
    </row>
    <row r="39" spans="1:10">
      <c r="A39" s="12"/>
      <c r="B39" s="10"/>
      <c r="C39" s="6"/>
      <c r="D39" s="10"/>
      <c r="E39" s="8"/>
      <c r="F39" s="8"/>
      <c r="G39" s="8"/>
      <c r="H39" s="8"/>
      <c r="J39" s="9"/>
    </row>
    <row r="41" spans="1:10">
      <c r="D41" s="10"/>
      <c r="E41" s="10"/>
      <c r="F41" s="10"/>
      <c r="G41" s="10"/>
      <c r="H41" s="10"/>
    </row>
    <row r="42" spans="1:10">
      <c r="A42" t="s">
        <v>33</v>
      </c>
      <c r="C42" s="10"/>
      <c r="D42" s="17">
        <v>2.1000000000000001E-2</v>
      </c>
      <c r="E42" s="17">
        <f>D42</f>
        <v>2.1000000000000001E-2</v>
      </c>
      <c r="F42" s="17">
        <f>E42</f>
        <v>2.1000000000000001E-2</v>
      </c>
      <c r="G42" s="17">
        <f>F42</f>
        <v>2.1000000000000001E-2</v>
      </c>
      <c r="H42" s="17">
        <f>G42</f>
        <v>2.1000000000000001E-2</v>
      </c>
    </row>
    <row r="43" spans="1:10">
      <c r="C43" s="10"/>
      <c r="D43" s="48"/>
      <c r="E43" s="48"/>
      <c r="F43" s="48"/>
      <c r="G43" s="48"/>
      <c r="H43" s="48"/>
      <c r="I43" s="48"/>
    </row>
    <row r="44" spans="1:10">
      <c r="A44" t="s">
        <v>34</v>
      </c>
      <c r="C44" s="10"/>
      <c r="D44" s="19">
        <f>C6*D42</f>
        <v>447.02700000000004</v>
      </c>
      <c r="E44" s="19">
        <f>D6*E42</f>
        <v>456.41456700000009</v>
      </c>
      <c r="F44" s="19">
        <f>E6*F42</f>
        <v>465.99927290700009</v>
      </c>
      <c r="G44" s="19">
        <f>F6*G42</f>
        <v>475.78525763804709</v>
      </c>
      <c r="H44" s="19">
        <f>G6*H42</f>
        <v>485.77674804844605</v>
      </c>
      <c r="I44" s="21">
        <f>SUM(D44:H44)</f>
        <v>2331.0028455934935</v>
      </c>
    </row>
    <row r="45" spans="1:10" ht="25.5">
      <c r="A45" t="s">
        <v>35</v>
      </c>
      <c r="C45" s="10"/>
      <c r="D45" s="19">
        <f>D8*(0.99464*D42)</f>
        <v>255457.34886814281</v>
      </c>
      <c r="E45" s="19">
        <f>E8*(0.993*E42)</f>
        <v>251413.79933120229</v>
      </c>
      <c r="F45" s="19">
        <f>F8*(0.992*F42)</f>
        <v>246726.24355120957</v>
      </c>
      <c r="G45" s="19">
        <f>G8*(0.991*G42)</f>
        <v>241870.99370242955</v>
      </c>
      <c r="H45" s="19">
        <f>H8*(0.991*H42)</f>
        <v>237186.73065337641</v>
      </c>
      <c r="I45" s="21">
        <f>SUM(D45:H45)</f>
        <v>1232655.1161063607</v>
      </c>
      <c r="J45" s="2" t="s">
        <v>104</v>
      </c>
    </row>
    <row r="46" spans="1:10">
      <c r="A46" t="s">
        <v>111</v>
      </c>
      <c r="C46" s="10"/>
      <c r="D46" s="19">
        <f>SUM(D44:D45)</f>
        <v>255904.37586814282</v>
      </c>
      <c r="E46" s="19">
        <f t="shared" ref="E46:H46" si="5">SUM(E44:E45)</f>
        <v>251870.21389820229</v>
      </c>
      <c r="F46" s="19">
        <f t="shared" si="5"/>
        <v>247192.24282411658</v>
      </c>
      <c r="G46" s="19">
        <f t="shared" si="5"/>
        <v>242346.7789600676</v>
      </c>
      <c r="H46" s="19">
        <f t="shared" si="5"/>
        <v>237672.50740142484</v>
      </c>
    </row>
    <row r="47" spans="1:10">
      <c r="C47" s="10"/>
      <c r="D47" s="19"/>
      <c r="E47" s="19"/>
      <c r="F47" s="19"/>
      <c r="G47" s="19"/>
      <c r="H47" s="19"/>
    </row>
    <row r="48" spans="1:10">
      <c r="A48" t="s">
        <v>36</v>
      </c>
      <c r="B48" s="19">
        <v>2660</v>
      </c>
      <c r="C48" s="10">
        <f>B38</f>
        <v>8.0699999999999994E-2</v>
      </c>
      <c r="D48" s="19">
        <f>-PMT($C$48,5,$B$48,0)</f>
        <v>667.44374876010852</v>
      </c>
      <c r="E48" s="19">
        <f>-PMT($C$48,5,$B$48,0)</f>
        <v>667.44374876010852</v>
      </c>
      <c r="F48" s="19">
        <f>-PMT($C$48,5,$B$48,0)</f>
        <v>667.44374876010852</v>
      </c>
      <c r="G48" s="19">
        <f>-PMT($C$48,5,$B$48,0)</f>
        <v>667.44374876010852</v>
      </c>
      <c r="H48" s="19">
        <f>-PMT($C$48,5,$B$48,0)</f>
        <v>667.44374876010852</v>
      </c>
      <c r="I48" s="21">
        <f>SUM(D48:H48)</f>
        <v>3337.2187438005426</v>
      </c>
      <c r="J48" s="2" t="s">
        <v>118</v>
      </c>
    </row>
    <row r="49" spans="1:10">
      <c r="A49" t="s">
        <v>52</v>
      </c>
      <c r="B49" s="19"/>
      <c r="C49" s="10"/>
      <c r="D49" s="19">
        <f>D46+D48</f>
        <v>256571.81961690291</v>
      </c>
      <c r="E49" s="19">
        <f t="shared" ref="E49:H49" si="6">E46+E48</f>
        <v>252537.65764696238</v>
      </c>
      <c r="F49" s="19">
        <f t="shared" si="6"/>
        <v>247859.68657287667</v>
      </c>
      <c r="G49" s="19">
        <f t="shared" si="6"/>
        <v>243014.2227088277</v>
      </c>
      <c r="H49" s="19">
        <f t="shared" si="6"/>
        <v>238339.95115018493</v>
      </c>
      <c r="I49" s="21">
        <f>SUM(D49:H49)</f>
        <v>1238323.3376957546</v>
      </c>
    </row>
    <row r="50" spans="1:10">
      <c r="C50" s="26"/>
      <c r="D50" s="26"/>
      <c r="E50" s="26"/>
      <c r="F50" s="26"/>
      <c r="G50" s="26"/>
      <c r="H50" s="26"/>
    </row>
    <row r="51" spans="1:10">
      <c r="A51" t="s">
        <v>75</v>
      </c>
      <c r="C51" s="6">
        <v>974603</v>
      </c>
      <c r="D51" s="21">
        <f>C51*(1+D52)</f>
        <v>1038344.9600090001</v>
      </c>
      <c r="E51" s="21">
        <f>D51*(1+E52)</f>
        <v>1094822.6190738096</v>
      </c>
      <c r="F51" s="21">
        <f>E51*(1+F52)</f>
        <v>1096288.5865607494</v>
      </c>
      <c r="G51" s="21">
        <f>F51*(1+G52)</f>
        <v>1104464.7068393196</v>
      </c>
      <c r="H51" s="21">
        <f>G51*(1+H52)</f>
        <v>1117307.9746828007</v>
      </c>
      <c r="J51" s="2" t="s">
        <v>26</v>
      </c>
    </row>
    <row r="52" spans="1:10">
      <c r="A52" t="s">
        <v>76</v>
      </c>
      <c r="C52" s="10"/>
      <c r="D52" s="20">
        <v>6.5403000000000003E-2</v>
      </c>
      <c r="E52" s="20">
        <v>5.4392000000000003E-2</v>
      </c>
      <c r="F52" s="20">
        <v>1.3389999999999999E-3</v>
      </c>
      <c r="G52" s="20">
        <v>7.4580000000000002E-3</v>
      </c>
      <c r="H52" s="20">
        <v>1.16285E-2</v>
      </c>
      <c r="I52" s="10">
        <f>SUM(D52:H52)</f>
        <v>0.14022050000000003</v>
      </c>
      <c r="J52" s="2" t="s">
        <v>26</v>
      </c>
    </row>
    <row r="53" spans="1:10">
      <c r="A53" t="s">
        <v>77</v>
      </c>
      <c r="C53" s="22">
        <v>1.62</v>
      </c>
      <c r="D53" s="22">
        <f>C53*(1+D54)</f>
        <v>1.86</v>
      </c>
      <c r="E53" s="22">
        <f>D53*(1+E54)</f>
        <v>1.89906</v>
      </c>
      <c r="F53" s="22">
        <f>E53*(1+F54)</f>
        <v>2.3057408504100003</v>
      </c>
      <c r="G53" s="22">
        <f>F53*(1+G54)</f>
        <v>2.6725392577636482</v>
      </c>
      <c r="H53" s="22">
        <f>G53*(1+H54)</f>
        <v>2.7286625821766846</v>
      </c>
    </row>
    <row r="54" spans="1:10">
      <c r="A54" t="s">
        <v>78</v>
      </c>
      <c r="D54" s="16">
        <v>0.14814814814814814</v>
      </c>
      <c r="E54" s="18">
        <v>2.1000000000000001E-2</v>
      </c>
      <c r="F54" s="18">
        <v>0.21414849999999999</v>
      </c>
      <c r="G54" s="18">
        <v>0.15908050000000001</v>
      </c>
      <c r="H54" s="18">
        <v>2.1000000000000001E-2</v>
      </c>
      <c r="J54" s="2" t="s">
        <v>26</v>
      </c>
    </row>
    <row r="55" spans="1:10">
      <c r="D55" s="10"/>
      <c r="E55" s="10"/>
      <c r="F55" s="10"/>
      <c r="G55" s="10"/>
      <c r="H55" s="10"/>
    </row>
    <row r="56" spans="1:10">
      <c r="C56" s="6"/>
      <c r="D56" s="46"/>
      <c r="E56" s="6"/>
      <c r="F56" s="6"/>
      <c r="G56" s="6"/>
      <c r="H56" s="6"/>
    </row>
    <row r="57" spans="1:10">
      <c r="D57" s="20"/>
      <c r="E57" s="20"/>
      <c r="F57" s="20"/>
      <c r="G57" s="20"/>
      <c r="H57" s="20"/>
    </row>
    <row r="58" spans="1:10">
      <c r="A58" s="5" t="s">
        <v>49</v>
      </c>
    </row>
    <row r="59" spans="1:10">
      <c r="A59" t="s">
        <v>38</v>
      </c>
      <c r="C59" s="26"/>
      <c r="D59" s="60">
        <v>923282.83255221299</v>
      </c>
      <c r="E59" s="58">
        <v>1677369.5837722076</v>
      </c>
      <c r="F59" s="58">
        <v>1709991.8642557396</v>
      </c>
      <c r="G59" s="58">
        <v>1745928.2656276373</v>
      </c>
      <c r="H59" s="58">
        <v>1782653.6330009568</v>
      </c>
      <c r="I59" s="26">
        <f t="shared" ref="I59:I64" si="7">SUM(D59:H59)</f>
        <v>7839226.1792087546</v>
      </c>
    </row>
    <row r="60" spans="1:10">
      <c r="A60" t="s">
        <v>39</v>
      </c>
      <c r="C60" s="26"/>
      <c r="D60" s="60">
        <v>286034.03446809429</v>
      </c>
      <c r="E60" s="58">
        <v>506953.94339823705</v>
      </c>
      <c r="F60" s="58">
        <v>514631.19068305503</v>
      </c>
      <c r="G60" s="58">
        <v>514803.52590702625</v>
      </c>
      <c r="H60" s="58">
        <v>521593.20504056668</v>
      </c>
      <c r="I60" s="26">
        <f t="shared" si="7"/>
        <v>2344015.8994969791</v>
      </c>
    </row>
    <row r="61" spans="1:10">
      <c r="A61" t="s">
        <v>40</v>
      </c>
      <c r="C61" s="26"/>
      <c r="D61" s="60">
        <v>1003376.4061025534</v>
      </c>
      <c r="E61" s="58">
        <v>1695422.9335316701</v>
      </c>
      <c r="F61" s="58">
        <v>1667573.5235127467</v>
      </c>
      <c r="G61" s="58">
        <v>1638927.532164182</v>
      </c>
      <c r="H61" s="58">
        <v>1610428.974025937</v>
      </c>
      <c r="I61" s="26">
        <f t="shared" si="7"/>
        <v>7615729.3693370894</v>
      </c>
    </row>
    <row r="62" spans="1:10">
      <c r="A62" t="s">
        <v>41</v>
      </c>
      <c r="C62" s="26"/>
      <c r="D62" s="60">
        <v>-155612.72100692097</v>
      </c>
      <c r="E62" s="58">
        <v>-262941.80838121765</v>
      </c>
      <c r="F62" s="58">
        <v>-258480.50966728746</v>
      </c>
      <c r="G62" s="58">
        <v>-253867.59653544964</v>
      </c>
      <c r="H62" s="58">
        <v>-249413.20948661104</v>
      </c>
      <c r="I62" s="26">
        <f t="shared" si="7"/>
        <v>-1180315.8450774867</v>
      </c>
    </row>
    <row r="63" spans="1:10">
      <c r="A63" t="s">
        <v>42</v>
      </c>
      <c r="C63" s="26"/>
      <c r="D63" s="58">
        <v>-766.53054105700573</v>
      </c>
      <c r="E63" s="58">
        <v>-766.53054105700573</v>
      </c>
      <c r="F63" s="58">
        <v>-766.53054105700573</v>
      </c>
      <c r="G63" s="58">
        <v>-766.53054105700573</v>
      </c>
      <c r="H63" s="58">
        <v>-766.53054105700573</v>
      </c>
      <c r="I63" s="26">
        <f t="shared" si="7"/>
        <v>-3832.6527052850288</v>
      </c>
    </row>
    <row r="64" spans="1:10">
      <c r="A64" t="s">
        <v>43</v>
      </c>
      <c r="C64" s="26"/>
      <c r="D64" s="61">
        <v>2056314.0215748826</v>
      </c>
      <c r="E64" s="61">
        <v>3616038.12177984</v>
      </c>
      <c r="F64" s="61">
        <v>3632949.5382431964</v>
      </c>
      <c r="G64" s="61">
        <v>3645025.1966223386</v>
      </c>
      <c r="H64" s="61">
        <v>3664496.0720397918</v>
      </c>
      <c r="I64" s="26">
        <f t="shared" si="7"/>
        <v>16614822.950260049</v>
      </c>
    </row>
    <row r="65" spans="1:9">
      <c r="D65" s="6"/>
    </row>
    <row r="66" spans="1:9">
      <c r="C66" s="26"/>
      <c r="D66" s="26"/>
      <c r="E66" s="26"/>
      <c r="F66" s="26"/>
      <c r="G66" s="26"/>
      <c r="H66" s="26"/>
      <c r="I66" s="26"/>
    </row>
    <row r="67" spans="1:9">
      <c r="C67" s="26"/>
      <c r="D67" s="39"/>
      <c r="E67" s="39"/>
      <c r="F67" s="39"/>
      <c r="G67" s="39"/>
      <c r="H67" s="39"/>
    </row>
    <row r="68" spans="1:9">
      <c r="C68" s="26"/>
      <c r="D68" s="39"/>
      <c r="E68" s="39"/>
      <c r="F68" s="39"/>
      <c r="G68" s="39"/>
      <c r="H68" s="39"/>
    </row>
    <row r="69" spans="1:9">
      <c r="C69" s="26"/>
      <c r="D69" s="40"/>
      <c r="E69" s="40"/>
      <c r="F69" s="40"/>
      <c r="G69" s="40"/>
      <c r="H69" s="40"/>
    </row>
    <row r="70" spans="1:9" ht="12" customHeight="1">
      <c r="A70" s="5"/>
      <c r="C70" s="26"/>
      <c r="D70" s="26"/>
      <c r="E70" s="26"/>
      <c r="F70" s="26"/>
      <c r="G70" s="26"/>
      <c r="H70" s="26"/>
    </row>
    <row r="71" spans="1:9">
      <c r="C71" s="26"/>
      <c r="D71" s="40"/>
      <c r="E71" s="40"/>
      <c r="F71" s="40"/>
      <c r="G71" s="40"/>
      <c r="H71" s="40"/>
    </row>
    <row r="94" spans="1:8">
      <c r="A94" s="5"/>
    </row>
    <row r="95" spans="1:8">
      <c r="D95" s="10"/>
      <c r="E95" s="10"/>
      <c r="F95" s="10"/>
      <c r="G95" s="10"/>
      <c r="H95" s="10"/>
    </row>
    <row r="96" spans="1:8">
      <c r="A96" s="5"/>
      <c r="D96" s="6"/>
      <c r="E96" s="6"/>
      <c r="F96" s="6"/>
      <c r="G96" s="6"/>
      <c r="H96" s="6"/>
    </row>
    <row r="97" spans="4:8">
      <c r="D97" s="6"/>
      <c r="E97" s="6"/>
      <c r="F97" s="6"/>
      <c r="G97" s="6"/>
      <c r="H97" s="6"/>
    </row>
    <row r="99" spans="4:8">
      <c r="D99" s="6"/>
      <c r="E99" s="6"/>
      <c r="F99" s="6"/>
      <c r="G99" s="6"/>
      <c r="H99" s="6"/>
    </row>
    <row r="101" spans="4:8">
      <c r="D101" s="6"/>
      <c r="E101" s="6"/>
      <c r="F101" s="6"/>
      <c r="G101" s="6"/>
      <c r="H101" s="6"/>
    </row>
    <row r="102" spans="4:8">
      <c r="D102" s="6"/>
    </row>
    <row r="103" spans="4:8">
      <c r="D103" s="6"/>
    </row>
    <row r="104" spans="4:8">
      <c r="D104" s="6"/>
    </row>
  </sheetData>
  <printOptions gridLines="1"/>
  <pageMargins left="0.74803149606299213" right="0.74803149606299213" top="0.98425196850393704" bottom="0.98425196850393704" header="0.51181102362204722" footer="0.51181102362204722"/>
  <pageSetup paperSize="9" scale="49" orientation="landscape" verticalDpi="0" r:id="rId1"/>
  <headerFooter alignWithMargins="0">
    <oddFooter>&amp;LBARNZ ALTERNATIVE REVENUE MODELLING&amp;C &amp;RSEPTMBER 2012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Summary</vt:lpstr>
      <vt:lpstr>Airfield CIAL Proposal</vt:lpstr>
      <vt:lpstr>Airfield BARNZ Alt RR</vt:lpstr>
      <vt:lpstr>Int Terminal CIAL Proposal</vt:lpstr>
      <vt:lpstr>Int Terminal BARNZ Alt RR</vt:lpstr>
      <vt:lpstr>Dom Jet CIAL Proposal</vt:lpstr>
      <vt:lpstr>Dom Jet BARNZ Alt RR</vt:lpstr>
      <vt:lpstr>Dom T.Prop CIAL Proposal</vt:lpstr>
      <vt:lpstr>Dom T.Prop BARNZ Alt RR</vt: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Cooper</dc:creator>
  <cp:lastModifiedBy>Kristina Cooper</cp:lastModifiedBy>
  <cp:lastPrinted>2012-09-07T03:58:43Z</cp:lastPrinted>
  <dcterms:created xsi:type="dcterms:W3CDTF">2012-04-24T21:43:51Z</dcterms:created>
  <dcterms:modified xsi:type="dcterms:W3CDTF">2013-03-22T02:08:22Z</dcterms:modified>
</cp:coreProperties>
</file>