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28785" yWindow="-15" windowWidth="28830" windowHeight="29040" tabRatio="866"/>
  </bookViews>
  <sheets>
    <sheet name="CoverSheet" sheetId="9" r:id="rId1"/>
    <sheet name="Description" sheetId="10" r:id="rId2"/>
    <sheet name="Table of Contents" sheetId="11" r:id="rId3"/>
    <sheet name="Data" sheetId="14" r:id="rId4"/>
    <sheet name="Selection" sheetId="15" r:id="rId5"/>
    <sheet name="Calculations" sheetId="43" r:id="rId6"/>
    <sheet name="Output" sheetId="26" r:id="rId7"/>
    <sheet name="5 year CPRG" sheetId="44" r:id="rId8"/>
    <sheet name="Charts" sheetId="38" r:id="rId9"/>
  </sheets>
  <externalReferences>
    <externalReference r:id="rId10"/>
    <externalReference r:id="rId11"/>
  </externalReferences>
  <definedNames>
    <definedName name="_xlnm._FilterDatabase" localSheetId="3" hidden="1">Data!$A$5:$U$43</definedName>
    <definedName name="AROC">Calculations!$B$141</definedName>
    <definedName name="CAP" localSheetId="7">[1]Calculations!$B$144</definedName>
    <definedName name="CAP">Calculations!$B$142</definedName>
    <definedName name="debt">Calculations!#REF!</definedName>
    <definedName name="EDB_Name">[2]Selection!$C$5</definedName>
    <definedName name="MAR" localSheetId="7">[1]Calculations!$B$13</definedName>
    <definedName name="MAR">Calculations!$B$12</definedName>
    <definedName name="_xlnm.Print_Area" localSheetId="7">'5 year CPRG'!$A$1:$H$27</definedName>
    <definedName name="_xlnm.Print_Area" localSheetId="5">Calculations!$A$1:$I$238</definedName>
    <definedName name="_xlnm.Print_Area" localSheetId="8">Charts!$A$1:$AN$43</definedName>
    <definedName name="_xlnm.Print_Area" localSheetId="0">CoverSheet!$A$1:$D$18</definedName>
    <definedName name="_xlnm.Print_Area" localSheetId="3">Data!$A$1:$W$98</definedName>
    <definedName name="_xlnm.Print_Area" localSheetId="1">Description!$A$1:$E$52</definedName>
    <definedName name="_xlnm.Print_Area" localSheetId="6">Output!$A$1:$U$101</definedName>
    <definedName name="_xlnm.Print_Area" localSheetId="4">Selection!$A$1:$H$39</definedName>
    <definedName name="_xlnm.Print_Area" localSheetId="2">'Table of Contents'!$A$1:$D$20</definedName>
    <definedName name="Timing" localSheetId="7">[1]Calculations!$B$49</definedName>
    <definedName name="Timing">Calculations!$B$52</definedName>
    <definedName name="WACC" localSheetId="7">[1]Calculations!$B$10</definedName>
    <definedName name="WACC">Calculations!$B$10</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5" i="26" l="1"/>
  <c r="A83" i="26" l="1"/>
  <c r="A81" i="26"/>
  <c r="A80" i="26"/>
  <c r="A79" i="26"/>
  <c r="A78" i="26"/>
  <c r="A77" i="26"/>
  <c r="A76" i="26"/>
  <c r="A75" i="26"/>
  <c r="A74" i="26"/>
  <c r="A73" i="26"/>
  <c r="A72" i="26"/>
  <c r="A71" i="26"/>
  <c r="A69" i="26"/>
  <c r="A67" i="26"/>
  <c r="A66" i="26"/>
  <c r="A65" i="26"/>
  <c r="A64" i="26"/>
  <c r="A63" i="26"/>
  <c r="A62" i="26"/>
  <c r="A61" i="26"/>
  <c r="A60" i="26"/>
  <c r="A59" i="26"/>
  <c r="A58" i="26"/>
  <c r="A57" i="26"/>
  <c r="A43" i="26"/>
  <c r="A55" i="26"/>
  <c r="A53" i="26"/>
  <c r="A52" i="26"/>
  <c r="A51" i="26"/>
  <c r="A50" i="26"/>
  <c r="A49" i="26"/>
  <c r="A48" i="26"/>
  <c r="A47" i="26"/>
  <c r="A46" i="26"/>
  <c r="A45" i="26"/>
  <c r="A44" i="26"/>
  <c r="X97"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61" i="14"/>
  <c r="X62" i="14"/>
  <c r="X65" i="14"/>
  <c r="X66" i="14"/>
  <c r="X67" i="14"/>
  <c r="X68" i="14"/>
  <c r="X73" i="14"/>
  <c r="X78" i="14"/>
  <c r="X83" i="14"/>
  <c r="X88" i="14"/>
  <c r="X93" i="14"/>
  <c r="X94" i="14"/>
  <c r="X95" i="14"/>
  <c r="X96" i="14"/>
  <c r="X6" i="14"/>
  <c r="A21" i="15" l="1"/>
  <c r="E205" i="43"/>
  <c r="F205" i="43"/>
  <c r="E206" i="43"/>
  <c r="F206" i="43"/>
  <c r="C194" i="43"/>
  <c r="C195" i="43" s="1"/>
  <c r="C198" i="43" s="1"/>
  <c r="C197" i="43"/>
  <c r="D194" i="43"/>
  <c r="D195" i="43" s="1"/>
  <c r="D198" i="43" s="1"/>
  <c r="E194" i="43"/>
  <c r="E195" i="43" s="1"/>
  <c r="E198" i="43" s="1"/>
  <c r="F194" i="43"/>
  <c r="F195" i="43" s="1"/>
  <c r="G194" i="43"/>
  <c r="G195" i="43" s="1"/>
  <c r="T5" i="26" l="1"/>
  <c r="T4" i="26"/>
  <c r="N4" i="26"/>
  <c r="O4" i="26"/>
  <c r="P4" i="26"/>
  <c r="Q4" i="26"/>
  <c r="R4" i="26"/>
  <c r="S4" i="26"/>
  <c r="N5" i="26"/>
  <c r="O5" i="26"/>
  <c r="P5" i="26"/>
  <c r="Q5" i="26"/>
  <c r="R5" i="26"/>
  <c r="S5" i="26"/>
  <c r="M5" i="26"/>
  <c r="M4" i="26"/>
  <c r="A3" i="44" l="1"/>
  <c r="C5" i="44"/>
  <c r="A7" i="26" l="1"/>
  <c r="A38" i="15"/>
  <c r="A37" i="15" l="1"/>
  <c r="A36" i="15"/>
  <c r="A35" i="43" l="1"/>
  <c r="A36" i="43"/>
  <c r="C4" i="26"/>
  <c r="D4" i="26"/>
  <c r="F163" i="43"/>
  <c r="E163" i="43"/>
  <c r="A213" i="43"/>
  <c r="A28" i="43"/>
  <c r="E65" i="43"/>
  <c r="A13" i="43"/>
  <c r="G2" i="43"/>
  <c r="AJ5" i="38" l="1"/>
  <c r="U5" i="38"/>
  <c r="AB5" i="38"/>
  <c r="N5" i="38"/>
  <c r="C5" i="38"/>
  <c r="B5" i="38"/>
  <c r="D5" i="38"/>
  <c r="A9" i="15"/>
  <c r="A35" i="15"/>
  <c r="A34" i="15"/>
  <c r="A92" i="14"/>
  <c r="X92" i="14" s="1"/>
  <c r="A91" i="14"/>
  <c r="X91" i="14" s="1"/>
  <c r="A90" i="14"/>
  <c r="X90" i="14" s="1"/>
  <c r="A89" i="14"/>
  <c r="X89" i="14" s="1"/>
  <c r="A85" i="14"/>
  <c r="X85" i="14" s="1"/>
  <c r="A86" i="14"/>
  <c r="X86" i="14" s="1"/>
  <c r="A87" i="14"/>
  <c r="X87" i="14" s="1"/>
  <c r="A84" i="14"/>
  <c r="X84" i="14" s="1"/>
  <c r="A33" i="15"/>
  <c r="A32" i="15"/>
  <c r="A31" i="15"/>
  <c r="A80" i="14"/>
  <c r="X80" i="14" s="1"/>
  <c r="A81" i="14"/>
  <c r="X81" i="14" s="1"/>
  <c r="A82" i="14"/>
  <c r="X82" i="14" s="1"/>
  <c r="A79" i="14"/>
  <c r="X79" i="14" s="1"/>
  <c r="A75" i="14"/>
  <c r="X75" i="14" s="1"/>
  <c r="A76" i="14"/>
  <c r="X76" i="14" s="1"/>
  <c r="A77" i="14"/>
  <c r="X77" i="14" s="1"/>
  <c r="A74" i="14"/>
  <c r="X74" i="14" s="1"/>
  <c r="A70" i="14"/>
  <c r="X70" i="14" s="1"/>
  <c r="A71" i="14"/>
  <c r="X71" i="14" s="1"/>
  <c r="A72" i="14"/>
  <c r="X72" i="14" s="1"/>
  <c r="A69" i="14"/>
  <c r="X69" i="14" s="1"/>
  <c r="A7" i="14"/>
  <c r="A38" i="43" l="1"/>
  <c r="A8" i="14"/>
  <c r="X7" i="14"/>
  <c r="A39" i="43"/>
  <c r="A34" i="43"/>
  <c r="A40" i="43"/>
  <c r="A37" i="43"/>
  <c r="A33" i="43"/>
  <c r="C6" i="15"/>
  <c r="A59" i="14"/>
  <c r="X59" i="14" s="1"/>
  <c r="A60" i="14"/>
  <c r="X60" i="14" s="1"/>
  <c r="A63" i="14"/>
  <c r="X63" i="14" s="1"/>
  <c r="A64" i="14"/>
  <c r="X64" i="14" s="1"/>
  <c r="E24" i="14"/>
  <c r="F24" i="14"/>
  <c r="G24" i="14"/>
  <c r="H24" i="14"/>
  <c r="I24" i="14"/>
  <c r="J24" i="14"/>
  <c r="K24" i="14"/>
  <c r="L24" i="14"/>
  <c r="M24" i="14"/>
  <c r="N24" i="14"/>
  <c r="O24" i="14"/>
  <c r="P24" i="14"/>
  <c r="Q24" i="14"/>
  <c r="R24" i="14"/>
  <c r="S24" i="14"/>
  <c r="T24" i="14"/>
  <c r="U24" i="14"/>
  <c r="E25" i="14"/>
  <c r="F25" i="14"/>
  <c r="G25" i="14"/>
  <c r="H25" i="14"/>
  <c r="I25" i="14"/>
  <c r="J25" i="14"/>
  <c r="K25" i="14"/>
  <c r="L25" i="14"/>
  <c r="M25" i="14"/>
  <c r="N25" i="14"/>
  <c r="O25" i="14"/>
  <c r="P25" i="14"/>
  <c r="Q25" i="14"/>
  <c r="R25" i="14"/>
  <c r="S25" i="14"/>
  <c r="T25" i="14"/>
  <c r="U25" i="14"/>
  <c r="E26" i="14"/>
  <c r="F26" i="14"/>
  <c r="G26" i="14"/>
  <c r="H26" i="14"/>
  <c r="I26" i="14"/>
  <c r="J26" i="14"/>
  <c r="K26" i="14"/>
  <c r="L26" i="14"/>
  <c r="M26" i="14"/>
  <c r="N26" i="14"/>
  <c r="O26" i="14"/>
  <c r="P26" i="14"/>
  <c r="Q26" i="14"/>
  <c r="R26" i="14"/>
  <c r="S26" i="14"/>
  <c r="T26" i="14"/>
  <c r="E27" i="14"/>
  <c r="F27" i="14"/>
  <c r="G27" i="14"/>
  <c r="H27" i="14"/>
  <c r="I27" i="14"/>
  <c r="J27" i="14"/>
  <c r="K27" i="14"/>
  <c r="L27" i="14"/>
  <c r="M27" i="14"/>
  <c r="N27" i="14"/>
  <c r="O27" i="14"/>
  <c r="P27" i="14"/>
  <c r="Q27" i="14"/>
  <c r="R27" i="14"/>
  <c r="S27" i="14"/>
  <c r="T27" i="14"/>
  <c r="U27" i="14"/>
  <c r="E28" i="14"/>
  <c r="F28" i="14"/>
  <c r="G28" i="14"/>
  <c r="H28" i="14"/>
  <c r="I28" i="14"/>
  <c r="J28" i="14"/>
  <c r="K28" i="14"/>
  <c r="L28" i="14"/>
  <c r="M28" i="14"/>
  <c r="N28" i="14"/>
  <c r="O28" i="14"/>
  <c r="P28" i="14"/>
  <c r="Q28" i="14"/>
  <c r="R28" i="14"/>
  <c r="S28" i="14"/>
  <c r="T28" i="14"/>
  <c r="U28" i="14"/>
  <c r="E34" i="14"/>
  <c r="F34" i="14"/>
  <c r="G34" i="14"/>
  <c r="H34" i="14"/>
  <c r="I34" i="14"/>
  <c r="J34" i="14"/>
  <c r="K34" i="14"/>
  <c r="L34" i="14"/>
  <c r="M34" i="14"/>
  <c r="N34" i="14"/>
  <c r="O34" i="14"/>
  <c r="P34" i="14"/>
  <c r="Q34" i="14"/>
  <c r="R34" i="14"/>
  <c r="S34" i="14"/>
  <c r="T34" i="14"/>
  <c r="U34" i="14"/>
  <c r="E35" i="14"/>
  <c r="F35" i="14"/>
  <c r="G35" i="14"/>
  <c r="H35" i="14"/>
  <c r="I35" i="14"/>
  <c r="J35" i="14"/>
  <c r="K35" i="14"/>
  <c r="L35" i="14"/>
  <c r="M35" i="14"/>
  <c r="N35" i="14"/>
  <c r="O35" i="14"/>
  <c r="P35" i="14"/>
  <c r="Q35" i="14"/>
  <c r="R35" i="14"/>
  <c r="S35" i="14"/>
  <c r="T35" i="14"/>
  <c r="U35" i="14"/>
  <c r="E36" i="14"/>
  <c r="F36" i="14"/>
  <c r="G36" i="14"/>
  <c r="H36" i="14"/>
  <c r="I36" i="14"/>
  <c r="J36" i="14"/>
  <c r="K36" i="14"/>
  <c r="L36" i="14"/>
  <c r="M36" i="14"/>
  <c r="N36" i="14"/>
  <c r="O36" i="14"/>
  <c r="P36" i="14"/>
  <c r="Q36" i="14"/>
  <c r="R36" i="14"/>
  <c r="S36" i="14"/>
  <c r="T36" i="14"/>
  <c r="U36" i="14"/>
  <c r="E37" i="14"/>
  <c r="F37" i="14"/>
  <c r="G37" i="14"/>
  <c r="H37" i="14"/>
  <c r="I37" i="14"/>
  <c r="J37" i="14"/>
  <c r="K37" i="14"/>
  <c r="L37" i="14"/>
  <c r="M37" i="14"/>
  <c r="N37" i="14"/>
  <c r="O37" i="14"/>
  <c r="P37" i="14"/>
  <c r="Q37" i="14"/>
  <c r="R37" i="14"/>
  <c r="S37" i="14"/>
  <c r="T37" i="14"/>
  <c r="U37" i="14"/>
  <c r="E38" i="14"/>
  <c r="F38" i="14"/>
  <c r="G38" i="14"/>
  <c r="H38" i="14"/>
  <c r="I38" i="14"/>
  <c r="J38" i="14"/>
  <c r="K38" i="14"/>
  <c r="L38" i="14"/>
  <c r="M38" i="14"/>
  <c r="N38" i="14"/>
  <c r="O38" i="14"/>
  <c r="P38" i="14"/>
  <c r="Q38" i="14"/>
  <c r="R38" i="14"/>
  <c r="S38" i="14"/>
  <c r="T38" i="14"/>
  <c r="U38" i="14"/>
  <c r="E39" i="14"/>
  <c r="F39" i="14"/>
  <c r="G39" i="14"/>
  <c r="H39" i="14"/>
  <c r="I39" i="14"/>
  <c r="J39" i="14"/>
  <c r="K39" i="14"/>
  <c r="L39" i="14"/>
  <c r="M39" i="14"/>
  <c r="N39" i="14"/>
  <c r="O39" i="14"/>
  <c r="P39" i="14"/>
  <c r="Q39" i="14"/>
  <c r="R39" i="14"/>
  <c r="S39" i="14"/>
  <c r="T39" i="14"/>
  <c r="U39" i="14"/>
  <c r="E40" i="14"/>
  <c r="F40" i="14"/>
  <c r="G40" i="14"/>
  <c r="H40" i="14"/>
  <c r="I40" i="14"/>
  <c r="J40" i="14"/>
  <c r="K40" i="14"/>
  <c r="L40" i="14"/>
  <c r="M40" i="14"/>
  <c r="N40" i="14"/>
  <c r="O40" i="14"/>
  <c r="P40" i="14"/>
  <c r="Q40" i="14"/>
  <c r="R40" i="14"/>
  <c r="S40" i="14"/>
  <c r="T40" i="14"/>
  <c r="U40" i="14"/>
  <c r="E41" i="14"/>
  <c r="F41" i="14"/>
  <c r="G41" i="14"/>
  <c r="H41" i="14"/>
  <c r="I41" i="14"/>
  <c r="J41" i="14"/>
  <c r="K41" i="14"/>
  <c r="L41" i="14"/>
  <c r="M41" i="14"/>
  <c r="N41" i="14"/>
  <c r="O41" i="14"/>
  <c r="P41" i="14"/>
  <c r="Q41" i="14"/>
  <c r="R41" i="14"/>
  <c r="S41" i="14"/>
  <c r="T41" i="14"/>
  <c r="U41" i="14"/>
  <c r="E42" i="14"/>
  <c r="F42" i="14"/>
  <c r="G42" i="14"/>
  <c r="H42" i="14"/>
  <c r="I42" i="14"/>
  <c r="J42" i="14"/>
  <c r="K42" i="14"/>
  <c r="L42" i="14"/>
  <c r="M42" i="14"/>
  <c r="N42" i="14"/>
  <c r="O42" i="14"/>
  <c r="P42" i="14"/>
  <c r="Q42" i="14"/>
  <c r="R42" i="14"/>
  <c r="S42" i="14"/>
  <c r="T42" i="14"/>
  <c r="U42" i="14"/>
  <c r="E43" i="14"/>
  <c r="F43" i="14"/>
  <c r="G43" i="14"/>
  <c r="H43" i="14"/>
  <c r="I43" i="14"/>
  <c r="J43" i="14"/>
  <c r="K43" i="14"/>
  <c r="L43" i="14"/>
  <c r="M43" i="14"/>
  <c r="N43" i="14"/>
  <c r="O43" i="14"/>
  <c r="P43" i="14"/>
  <c r="Q43" i="14"/>
  <c r="R43" i="14"/>
  <c r="S43" i="14"/>
  <c r="T43" i="14"/>
  <c r="U43" i="14"/>
  <c r="E49" i="14"/>
  <c r="F49" i="14"/>
  <c r="G49" i="14"/>
  <c r="H49" i="14"/>
  <c r="I49" i="14"/>
  <c r="J49" i="14"/>
  <c r="K49" i="14"/>
  <c r="L49" i="14"/>
  <c r="M49" i="14"/>
  <c r="N49" i="14"/>
  <c r="O49" i="14"/>
  <c r="P49" i="14"/>
  <c r="Q49" i="14"/>
  <c r="R49" i="14"/>
  <c r="S49" i="14"/>
  <c r="T49" i="14"/>
  <c r="U49" i="14"/>
  <c r="E50" i="14"/>
  <c r="F50" i="14"/>
  <c r="G50" i="14"/>
  <c r="H50" i="14"/>
  <c r="I50" i="14"/>
  <c r="J50" i="14"/>
  <c r="K50" i="14"/>
  <c r="L50" i="14"/>
  <c r="M50" i="14"/>
  <c r="N50" i="14"/>
  <c r="O50" i="14"/>
  <c r="P50" i="14"/>
  <c r="Q50" i="14"/>
  <c r="R50" i="14"/>
  <c r="S50" i="14"/>
  <c r="T50" i="14"/>
  <c r="U50" i="14"/>
  <c r="E51" i="14"/>
  <c r="F51" i="14"/>
  <c r="G51" i="14"/>
  <c r="H51" i="14"/>
  <c r="I51" i="14"/>
  <c r="J51" i="14"/>
  <c r="K51" i="14"/>
  <c r="L51" i="14"/>
  <c r="M51" i="14"/>
  <c r="N51" i="14"/>
  <c r="O51" i="14"/>
  <c r="P51" i="14"/>
  <c r="Q51" i="14"/>
  <c r="R51" i="14"/>
  <c r="S51" i="14"/>
  <c r="T51" i="14"/>
  <c r="U51" i="14"/>
  <c r="E52" i="14"/>
  <c r="F52" i="14"/>
  <c r="G52" i="14"/>
  <c r="H52" i="14"/>
  <c r="I52" i="14"/>
  <c r="J52" i="14"/>
  <c r="K52" i="14"/>
  <c r="L52" i="14"/>
  <c r="M52" i="14"/>
  <c r="N52" i="14"/>
  <c r="O52" i="14"/>
  <c r="P52" i="14"/>
  <c r="Q52" i="14"/>
  <c r="R52" i="14"/>
  <c r="S52" i="14"/>
  <c r="T52" i="14"/>
  <c r="U52" i="14"/>
  <c r="E53" i="14"/>
  <c r="F53" i="14"/>
  <c r="G53" i="14"/>
  <c r="H53" i="14"/>
  <c r="I53" i="14"/>
  <c r="J53" i="14"/>
  <c r="K53" i="14"/>
  <c r="L53" i="14"/>
  <c r="M53" i="14"/>
  <c r="N53" i="14"/>
  <c r="O53" i="14"/>
  <c r="P53" i="14"/>
  <c r="Q53" i="14"/>
  <c r="R53" i="14"/>
  <c r="S53" i="14"/>
  <c r="T53" i="14"/>
  <c r="U53" i="14"/>
  <c r="E54" i="14"/>
  <c r="F54" i="14"/>
  <c r="G54" i="14"/>
  <c r="H54" i="14"/>
  <c r="I54" i="14"/>
  <c r="J54" i="14"/>
  <c r="K54" i="14"/>
  <c r="L54" i="14"/>
  <c r="M54" i="14"/>
  <c r="N54" i="14"/>
  <c r="O54" i="14"/>
  <c r="P54" i="14"/>
  <c r="Q54" i="14"/>
  <c r="R54" i="14"/>
  <c r="S54" i="14"/>
  <c r="T54" i="14"/>
  <c r="U54" i="14"/>
  <c r="E55" i="14"/>
  <c r="F55" i="14"/>
  <c r="G55" i="14"/>
  <c r="H55" i="14"/>
  <c r="I55" i="14"/>
  <c r="J55" i="14"/>
  <c r="K55" i="14"/>
  <c r="L55" i="14"/>
  <c r="M55" i="14"/>
  <c r="N55" i="14"/>
  <c r="O55" i="14"/>
  <c r="P55" i="14"/>
  <c r="Q55" i="14"/>
  <c r="R55" i="14"/>
  <c r="S55" i="14"/>
  <c r="T55" i="14"/>
  <c r="U55" i="14"/>
  <c r="E56" i="14"/>
  <c r="F56" i="14"/>
  <c r="G56" i="14"/>
  <c r="H56" i="14"/>
  <c r="I56" i="14"/>
  <c r="J56" i="14"/>
  <c r="K56" i="14"/>
  <c r="L56" i="14"/>
  <c r="M56" i="14"/>
  <c r="N56" i="14"/>
  <c r="O56" i="14"/>
  <c r="P56" i="14"/>
  <c r="Q56" i="14"/>
  <c r="R56" i="14"/>
  <c r="S56" i="14"/>
  <c r="T56" i="14"/>
  <c r="U56" i="14"/>
  <c r="E57" i="14"/>
  <c r="F57" i="14"/>
  <c r="G57" i="14"/>
  <c r="H57" i="14"/>
  <c r="I57" i="14"/>
  <c r="J57" i="14"/>
  <c r="K57" i="14"/>
  <c r="L57" i="14"/>
  <c r="M57" i="14"/>
  <c r="N57" i="14"/>
  <c r="O57" i="14"/>
  <c r="P57" i="14"/>
  <c r="Q57" i="14"/>
  <c r="R57" i="14"/>
  <c r="S57" i="14"/>
  <c r="T57" i="14"/>
  <c r="U57" i="14"/>
  <c r="A25" i="15"/>
  <c r="A30" i="15"/>
  <c r="A24" i="15"/>
  <c r="A27" i="15"/>
  <c r="A29" i="15"/>
  <c r="A26" i="15"/>
  <c r="E4" i="26"/>
  <c r="F4" i="26"/>
  <c r="G4" i="26"/>
  <c r="H4" i="26"/>
  <c r="I4" i="26"/>
  <c r="J4" i="26"/>
  <c r="K4" i="26"/>
  <c r="L4" i="26"/>
  <c r="L5" i="26"/>
  <c r="K5" i="26"/>
  <c r="J5" i="26"/>
  <c r="I5" i="26"/>
  <c r="H5" i="26"/>
  <c r="G5" i="26"/>
  <c r="F5" i="26"/>
  <c r="E5" i="26"/>
  <c r="D5" i="26"/>
  <c r="A28" i="15"/>
  <c r="AJ20" i="38" l="1"/>
  <c r="AJ13" i="38"/>
  <c r="AJ7" i="38"/>
  <c r="AJ14" i="38"/>
  <c r="U19" i="38"/>
  <c r="AB19" i="38"/>
  <c r="U13" i="38"/>
  <c r="U20" i="38"/>
  <c r="U14" i="38"/>
  <c r="AB14" i="38"/>
  <c r="U12" i="38"/>
  <c r="AJ16" i="38"/>
  <c r="AJ19" i="38"/>
  <c r="AJ9" i="38"/>
  <c r="AJ10" i="38"/>
  <c r="U15" i="38"/>
  <c r="AB15" i="38"/>
  <c r="U9" i="38"/>
  <c r="U8" i="38"/>
  <c r="U10" i="38"/>
  <c r="AB10" i="38"/>
  <c r="AB13" i="38"/>
  <c r="AB20" i="38"/>
  <c r="AJ12" i="38"/>
  <c r="AJ15" i="38"/>
  <c r="AJ6" i="38"/>
  <c r="U11" i="38"/>
  <c r="AB11" i="38"/>
  <c r="AB17" i="38"/>
  <c r="AB16" i="38"/>
  <c r="U6" i="38"/>
  <c r="AB6" i="38"/>
  <c r="AB8" i="38"/>
  <c r="AJ8" i="38"/>
  <c r="AJ11" i="38"/>
  <c r="AJ18" i="38"/>
  <c r="AJ17" i="38"/>
  <c r="U7" i="38"/>
  <c r="AB7" i="38"/>
  <c r="AB9" i="38"/>
  <c r="U18" i="38"/>
  <c r="AB18" i="38"/>
  <c r="U17" i="38"/>
  <c r="U16" i="38"/>
  <c r="AB12" i="38"/>
  <c r="N17" i="38"/>
  <c r="N20" i="38"/>
  <c r="N19" i="38"/>
  <c r="N18" i="38"/>
  <c r="N16" i="38"/>
  <c r="N15" i="38"/>
  <c r="N14" i="38"/>
  <c r="N13" i="38"/>
  <c r="N12" i="38"/>
  <c r="N11" i="38"/>
  <c r="N10" i="38"/>
  <c r="N9" i="38"/>
  <c r="N8" i="38"/>
  <c r="N7" i="38"/>
  <c r="N6" i="38"/>
  <c r="B20" i="38"/>
  <c r="D14" i="38"/>
  <c r="C9" i="38"/>
  <c r="D19" i="38"/>
  <c r="C14" i="38"/>
  <c r="B9" i="38"/>
  <c r="D20" i="38"/>
  <c r="C15" i="38"/>
  <c r="B10" i="38"/>
  <c r="C20" i="38"/>
  <c r="B15" i="38"/>
  <c r="D9" i="38"/>
  <c r="D15" i="38"/>
  <c r="C11" i="38"/>
  <c r="D18" i="38"/>
  <c r="C13" i="38"/>
  <c r="B8" i="38"/>
  <c r="C18" i="38"/>
  <c r="B13" i="38"/>
  <c r="D7" i="38"/>
  <c r="C19" i="38"/>
  <c r="B14" i="38"/>
  <c r="D8" i="38"/>
  <c r="B19" i="38"/>
  <c r="D13" i="38"/>
  <c r="C8" i="38"/>
  <c r="D10" i="38"/>
  <c r="C10" i="38"/>
  <c r="D16" i="38"/>
  <c r="C16" i="38"/>
  <c r="C17" i="38"/>
  <c r="B12" i="38"/>
  <c r="D6" i="38"/>
  <c r="B17" i="38"/>
  <c r="D11" i="38"/>
  <c r="C6" i="38"/>
  <c r="B18" i="38"/>
  <c r="D12" i="38"/>
  <c r="C7" i="38"/>
  <c r="D17" i="38"/>
  <c r="C12" i="38"/>
  <c r="B7" i="38"/>
  <c r="B16" i="38"/>
  <c r="B6" i="38"/>
  <c r="B11" i="38"/>
  <c r="A42" i="43"/>
  <c r="A9" i="14"/>
  <c r="X8" i="14"/>
  <c r="A14" i="43"/>
  <c r="A15" i="43"/>
  <c r="A66" i="43" s="1"/>
  <c r="C3" i="44"/>
  <c r="A41" i="43"/>
  <c r="A23" i="43"/>
  <c r="A26" i="43"/>
  <c r="D6" i="15"/>
  <c r="Z12" i="38" l="1"/>
  <c r="S18" i="38"/>
  <c r="AH17" i="38"/>
  <c r="S16" i="38"/>
  <c r="Z9" i="38"/>
  <c r="AH18" i="38"/>
  <c r="Z6" i="38"/>
  <c r="Z5" i="38"/>
  <c r="Z11" i="38"/>
  <c r="AH12" i="38"/>
  <c r="S10" i="38"/>
  <c r="S15" i="38"/>
  <c r="AH16" i="38"/>
  <c r="S20" i="38"/>
  <c r="AH14" i="38"/>
  <c r="S17" i="38"/>
  <c r="Z7" i="38"/>
  <c r="AH11" i="38"/>
  <c r="S6" i="38"/>
  <c r="S5" i="38"/>
  <c r="S11" i="38"/>
  <c r="Z20" i="38"/>
  <c r="S8" i="38"/>
  <c r="AH10" i="38"/>
  <c r="S12" i="38"/>
  <c r="S13" i="38"/>
  <c r="AH7" i="38"/>
  <c r="Z18" i="38"/>
  <c r="S7" i="38"/>
  <c r="AH8" i="38"/>
  <c r="Z16" i="38"/>
  <c r="AH6" i="38"/>
  <c r="AH5" i="38"/>
  <c r="Z13" i="38"/>
  <c r="S9" i="38"/>
  <c r="AH9" i="38"/>
  <c r="Z14" i="38"/>
  <c r="Z19" i="38"/>
  <c r="AH13" i="38"/>
  <c r="Z8" i="38"/>
  <c r="Z17" i="38"/>
  <c r="AH15" i="38"/>
  <c r="Z10" i="38"/>
  <c r="Z15" i="38"/>
  <c r="AH19" i="38"/>
  <c r="S14" i="38"/>
  <c r="S19" i="38"/>
  <c r="AH20" i="38"/>
  <c r="L7" i="38"/>
  <c r="L8" i="38"/>
  <c r="L9" i="38"/>
  <c r="L13" i="38"/>
  <c r="L18" i="38"/>
  <c r="L6" i="38"/>
  <c r="L5" i="38"/>
  <c r="L10" i="38"/>
  <c r="L14" i="38"/>
  <c r="L19" i="38"/>
  <c r="L11" i="38"/>
  <c r="L15" i="38"/>
  <c r="L20" i="38"/>
  <c r="L12" i="38"/>
  <c r="L16" i="38"/>
  <c r="L17" i="38"/>
  <c r="E9" i="15"/>
  <c r="D9" i="15"/>
  <c r="C9" i="15"/>
  <c r="A10" i="14"/>
  <c r="X10" i="14" s="1"/>
  <c r="X9" i="14"/>
  <c r="F6" i="38"/>
  <c r="F5" i="38"/>
  <c r="F11" i="38"/>
  <c r="F13" i="38"/>
  <c r="F10" i="38"/>
  <c r="F7" i="38"/>
  <c r="F12" i="38"/>
  <c r="F17" i="38"/>
  <c r="F8" i="38"/>
  <c r="F18" i="38"/>
  <c r="F16" i="38"/>
  <c r="F14" i="38"/>
  <c r="F19" i="38"/>
  <c r="F9" i="38"/>
  <c r="F15" i="38"/>
  <c r="F20" i="38"/>
  <c r="D3" i="44"/>
  <c r="W17" i="38" l="1"/>
  <c r="X17" i="38" s="1"/>
  <c r="W20" i="38"/>
  <c r="X20" i="38" s="1"/>
  <c r="W14" i="38"/>
  <c r="X14" i="38" s="1"/>
  <c r="W7" i="38"/>
  <c r="X7" i="38" s="1"/>
  <c r="W15" i="38"/>
  <c r="X15" i="38" s="1"/>
  <c r="W11" i="38"/>
  <c r="X11" i="38" s="1"/>
  <c r="W13" i="38"/>
  <c r="X13" i="38" s="1"/>
  <c r="W16" i="38"/>
  <c r="X16" i="38" s="1"/>
  <c r="W19" i="38"/>
  <c r="X19" i="38" s="1"/>
  <c r="W18" i="38"/>
  <c r="X18" i="38" s="1"/>
  <c r="W12" i="38"/>
  <c r="X12" i="38" s="1"/>
  <c r="W8" i="38"/>
  <c r="X8" i="38" s="1"/>
  <c r="W9" i="38"/>
  <c r="X9" i="38" s="1"/>
  <c r="W6" i="38"/>
  <c r="X6" i="38" s="1"/>
  <c r="W10" i="38"/>
  <c r="X10" i="38" s="1"/>
  <c r="W5" i="38"/>
  <c r="X5" i="38" s="1"/>
  <c r="AD20" i="38"/>
  <c r="AD14" i="38"/>
  <c r="AD19" i="38"/>
  <c r="AD16" i="38"/>
  <c r="AD9" i="38"/>
  <c r="AD5" i="38"/>
  <c r="AD18" i="38"/>
  <c r="AD17" i="38"/>
  <c r="AD13" i="38"/>
  <c r="AD11" i="38"/>
  <c r="AD6" i="38"/>
  <c r="AD15" i="38"/>
  <c r="AD12" i="38"/>
  <c r="AD10" i="38"/>
  <c r="AD8" i="38"/>
  <c r="AD7" i="38"/>
  <c r="AL20" i="38"/>
  <c r="AM20" i="38" s="1"/>
  <c r="AL10" i="38"/>
  <c r="AM10" i="38" s="1"/>
  <c r="AL7" i="38"/>
  <c r="AM7" i="38" s="1"/>
  <c r="AL17" i="38"/>
  <c r="AM17" i="38" s="1"/>
  <c r="AL16" i="38"/>
  <c r="AM16" i="38" s="1"/>
  <c r="AL19" i="38"/>
  <c r="AM19" i="38" s="1"/>
  <c r="AL14" i="38"/>
  <c r="AM14" i="38" s="1"/>
  <c r="AL13" i="38"/>
  <c r="AM13" i="38" s="1"/>
  <c r="AL8" i="38"/>
  <c r="AM8" i="38" s="1"/>
  <c r="AL5" i="38"/>
  <c r="AM5" i="38" s="1"/>
  <c r="AL12" i="38"/>
  <c r="AM12" i="38" s="1"/>
  <c r="AL15" i="38"/>
  <c r="AM15" i="38" s="1"/>
  <c r="AL6" i="38"/>
  <c r="AM6" i="38" s="1"/>
  <c r="AL9" i="38"/>
  <c r="AM9" i="38" s="1"/>
  <c r="AL11" i="38"/>
  <c r="AM11" i="38" s="1"/>
  <c r="AL18" i="38"/>
  <c r="AM18" i="38" s="1"/>
  <c r="E27" i="15"/>
  <c r="E42" i="43" s="1"/>
  <c r="P12" i="38"/>
  <c r="Q12" i="38" s="1"/>
  <c r="P17" i="38"/>
  <c r="Q17" i="38" s="1"/>
  <c r="P5" i="38"/>
  <c r="Q5" i="38" s="1"/>
  <c r="P18" i="38"/>
  <c r="Q18" i="38" s="1"/>
  <c r="P8" i="38"/>
  <c r="Q8" i="38" s="1"/>
  <c r="P10" i="38"/>
  <c r="Q10" i="38" s="1"/>
  <c r="P11" i="38"/>
  <c r="Q11" i="38" s="1"/>
  <c r="P15" i="38"/>
  <c r="Q15" i="38" s="1"/>
  <c r="P7" i="38"/>
  <c r="Q7" i="38" s="1"/>
  <c r="P16" i="38"/>
  <c r="Q16" i="38" s="1"/>
  <c r="P6" i="38"/>
  <c r="Q6" i="38" s="1"/>
  <c r="P19" i="38"/>
  <c r="Q19" i="38" s="1"/>
  <c r="P20" i="38"/>
  <c r="Q20" i="38" s="1"/>
  <c r="P9" i="38"/>
  <c r="Q9" i="38" s="1"/>
  <c r="P14" i="38"/>
  <c r="Q14" i="38" s="1"/>
  <c r="P13" i="38"/>
  <c r="Q13" i="38" s="1"/>
  <c r="G32" i="15"/>
  <c r="G37" i="43" s="1"/>
  <c r="F25" i="15"/>
  <c r="E33" i="15"/>
  <c r="E38" i="43" s="1"/>
  <c r="B27" i="15"/>
  <c r="B42" i="43" s="1"/>
  <c r="F27" i="15"/>
  <c r="F42" i="43" s="1"/>
  <c r="D27" i="15"/>
  <c r="D42" i="43" s="1"/>
  <c r="C25" i="15"/>
  <c r="C41" i="43" s="1"/>
  <c r="E25" i="15"/>
  <c r="E41" i="43" s="1"/>
  <c r="C35" i="15"/>
  <c r="C40" i="43" s="1"/>
  <c r="G38" i="15"/>
  <c r="B19" i="43" s="1"/>
  <c r="B38" i="15"/>
  <c r="C37" i="15"/>
  <c r="C36" i="43" s="1"/>
  <c r="C38" i="15"/>
  <c r="D37" i="15"/>
  <c r="D38" i="15"/>
  <c r="E37" i="15"/>
  <c r="E36" i="43" s="1"/>
  <c r="E38" i="15"/>
  <c r="F37" i="15"/>
  <c r="F38" i="15"/>
  <c r="G37" i="15"/>
  <c r="B18" i="43" s="1"/>
  <c r="B37" i="15"/>
  <c r="B36" i="43" s="1"/>
  <c r="C34" i="15"/>
  <c r="B33" i="15"/>
  <c r="B38" i="43" s="1"/>
  <c r="F24" i="15"/>
  <c r="F23" i="43" s="1"/>
  <c r="F63" i="43" s="1"/>
  <c r="G26" i="15"/>
  <c r="E26" i="15"/>
  <c r="G30" i="15"/>
  <c r="B9" i="15"/>
  <c r="B33" i="43" s="1"/>
  <c r="F31" i="15"/>
  <c r="B17" i="43" s="1"/>
  <c r="B28" i="15"/>
  <c r="B15" i="43" s="1"/>
  <c r="B66" i="43" s="1"/>
  <c r="C29" i="15"/>
  <c r="D29" i="15"/>
  <c r="G20" i="15"/>
  <c r="C18" i="15"/>
  <c r="C8" i="43" s="1"/>
  <c r="E15" i="15"/>
  <c r="E29" i="43" s="1"/>
  <c r="F12" i="15"/>
  <c r="B10" i="15"/>
  <c r="B22" i="15"/>
  <c r="B28" i="43" s="1"/>
  <c r="F18" i="15"/>
  <c r="F8" i="43" s="1"/>
  <c r="B16" i="15"/>
  <c r="B6" i="43" s="1"/>
  <c r="C13" i="15"/>
  <c r="E10" i="15"/>
  <c r="E31" i="43" s="1"/>
  <c r="E22" i="15"/>
  <c r="E28" i="43" s="1"/>
  <c r="E6" i="44" s="1"/>
  <c r="E18" i="15"/>
  <c r="E8" i="43" s="1"/>
  <c r="G15" i="15"/>
  <c r="G29" i="43" s="1"/>
  <c r="B13" i="15"/>
  <c r="B13" i="43" s="1"/>
  <c r="D10" i="15"/>
  <c r="D31" i="43" s="1"/>
  <c r="B23" i="15"/>
  <c r="B19" i="15"/>
  <c r="B8" i="44" s="1"/>
  <c r="G17" i="44" s="1"/>
  <c r="G18" i="44" s="1"/>
  <c r="D16" i="15"/>
  <c r="D6" i="43" s="1"/>
  <c r="E13" i="15"/>
  <c r="C21" i="15"/>
  <c r="C27" i="43" s="1"/>
  <c r="B21" i="15"/>
  <c r="B27" i="43" s="1"/>
  <c r="D36" i="43"/>
  <c r="D33" i="15"/>
  <c r="D38" i="43" s="1"/>
  <c r="B24" i="15"/>
  <c r="B26" i="43" s="1"/>
  <c r="C26" i="15"/>
  <c r="D26" i="15"/>
  <c r="C30" i="15"/>
  <c r="F32" i="15"/>
  <c r="E31" i="15"/>
  <c r="G28" i="15"/>
  <c r="E28" i="15"/>
  <c r="F29" i="15"/>
  <c r="E23" i="15"/>
  <c r="C20" i="15"/>
  <c r="E17" i="15"/>
  <c r="E7" i="43" s="1"/>
  <c r="G14" i="15"/>
  <c r="B12" i="15"/>
  <c r="B12" i="43" s="1"/>
  <c r="C10" i="15"/>
  <c r="C31" i="43" s="1"/>
  <c r="F20" i="15"/>
  <c r="F10" i="43" s="1"/>
  <c r="B18" i="15"/>
  <c r="B8" i="43" s="1"/>
  <c r="D15" i="15"/>
  <c r="D29" i="43" s="1"/>
  <c r="E12" i="15"/>
  <c r="G10" i="15"/>
  <c r="G31" i="43" s="1"/>
  <c r="E20" i="15"/>
  <c r="E10" i="43" s="1"/>
  <c r="G17" i="15"/>
  <c r="G7" i="43" s="1"/>
  <c r="C15" i="15"/>
  <c r="C29" i="43" s="1"/>
  <c r="D12" i="15"/>
  <c r="E11" i="15"/>
  <c r="E32" i="43" s="1"/>
  <c r="D22" i="15"/>
  <c r="D28" i="43" s="1"/>
  <c r="D6" i="44" s="1"/>
  <c r="D12" i="44" s="1"/>
  <c r="D18" i="15"/>
  <c r="D8" i="43" s="1"/>
  <c r="F15" i="15"/>
  <c r="F29" i="43" s="1"/>
  <c r="G12" i="15"/>
  <c r="E21" i="15"/>
  <c r="E27" i="43" s="1"/>
  <c r="F36" i="43"/>
  <c r="F36" i="15"/>
  <c r="F35" i="43" s="1"/>
  <c r="G24" i="15"/>
  <c r="G23" i="43" s="1"/>
  <c r="E24" i="15"/>
  <c r="E23" i="43" s="1"/>
  <c r="F26" i="15"/>
  <c r="E30" i="15"/>
  <c r="F30" i="15"/>
  <c r="B35" i="15"/>
  <c r="B40" i="43" s="1"/>
  <c r="B34" i="15"/>
  <c r="B39" i="43" s="1"/>
  <c r="C28" i="15"/>
  <c r="D28" i="15"/>
  <c r="B29" i="15"/>
  <c r="B20" i="43" s="1"/>
  <c r="G165" i="43" s="1"/>
  <c r="G22" i="15"/>
  <c r="E19" i="15"/>
  <c r="G16" i="15"/>
  <c r="G6" i="43" s="1"/>
  <c r="B14" i="15"/>
  <c r="B25" i="43" s="1"/>
  <c r="D11" i="15"/>
  <c r="D32" i="43" s="1"/>
  <c r="D23" i="15"/>
  <c r="B20" i="15"/>
  <c r="B9" i="43" s="1"/>
  <c r="D17" i="15"/>
  <c r="D7" i="43" s="1"/>
  <c r="F14" i="15"/>
  <c r="F25" i="43" s="1"/>
  <c r="F196" i="43" s="1"/>
  <c r="G11" i="15"/>
  <c r="G32" i="43" s="1"/>
  <c r="G23" i="15"/>
  <c r="G19" i="15"/>
  <c r="G9" i="43" s="1"/>
  <c r="C17" i="15"/>
  <c r="C7" i="43" s="1"/>
  <c r="E14" i="15"/>
  <c r="E25" i="43" s="1"/>
  <c r="E196" i="43" s="1"/>
  <c r="F11" i="15"/>
  <c r="F32" i="43" s="1"/>
  <c r="C14" i="15"/>
  <c r="C25" i="43" s="1"/>
  <c r="D20" i="15"/>
  <c r="D10" i="43" s="1"/>
  <c r="F17" i="15"/>
  <c r="F7" i="43" s="1"/>
  <c r="B15" i="15"/>
  <c r="C12" i="15"/>
  <c r="F21" i="15"/>
  <c r="F27" i="43" s="1"/>
  <c r="G36" i="15"/>
  <c r="G35" i="43" s="1"/>
  <c r="C36" i="15"/>
  <c r="C35" i="43" s="1"/>
  <c r="D34" i="15"/>
  <c r="D39" i="43" s="1"/>
  <c r="G33" i="15"/>
  <c r="C24" i="15"/>
  <c r="C23" i="43" s="1"/>
  <c r="D24" i="15"/>
  <c r="D26" i="43" s="1"/>
  <c r="B26" i="15"/>
  <c r="B14" i="43" s="1"/>
  <c r="E68" i="43" s="1"/>
  <c r="D30" i="15"/>
  <c r="B30" i="15"/>
  <c r="B16" i="43" s="1"/>
  <c r="D35" i="15"/>
  <c r="D40" i="43" s="1"/>
  <c r="F33" i="15"/>
  <c r="F38" i="43" s="1"/>
  <c r="F28" i="15"/>
  <c r="G29" i="15"/>
  <c r="E29" i="15"/>
  <c r="C22" i="15"/>
  <c r="C28" i="43" s="1"/>
  <c r="C6" i="44" s="1"/>
  <c r="G18" i="15"/>
  <c r="G8" i="43" s="1"/>
  <c r="C16" i="15"/>
  <c r="C6" i="43" s="1"/>
  <c r="D13" i="15"/>
  <c r="F10" i="15"/>
  <c r="F31" i="43" s="1"/>
  <c r="F22" i="15"/>
  <c r="F28" i="43" s="1"/>
  <c r="D19" i="15"/>
  <c r="D9" i="43" s="1"/>
  <c r="F16" i="15"/>
  <c r="F6" i="43" s="1"/>
  <c r="G13" i="15"/>
  <c r="C11" i="15"/>
  <c r="C32" i="43" s="1"/>
  <c r="C23" i="15"/>
  <c r="C19" i="15"/>
  <c r="E16" i="15"/>
  <c r="E6" i="43" s="1"/>
  <c r="F13" i="15"/>
  <c r="B11" i="15"/>
  <c r="B32" i="43" s="1"/>
  <c r="F23" i="15"/>
  <c r="F19" i="15"/>
  <c r="F9" i="43" s="1"/>
  <c r="B17" i="15"/>
  <c r="B7" i="43" s="1"/>
  <c r="D14" i="15"/>
  <c r="D25" i="43" s="1"/>
  <c r="D196" i="43" s="1"/>
  <c r="G21" i="15"/>
  <c r="G27" i="43" s="1"/>
  <c r="D21" i="15"/>
  <c r="D27" i="43" s="1"/>
  <c r="B36" i="15"/>
  <c r="E36" i="15"/>
  <c r="E35" i="43" s="1"/>
  <c r="D36" i="15"/>
  <c r="D35" i="43" s="1"/>
  <c r="C33" i="15"/>
  <c r="C38" i="43" s="1"/>
  <c r="G27" i="15"/>
  <c r="G42" i="43" s="1"/>
  <c r="B32" i="15"/>
  <c r="B37" i="43" s="1"/>
  <c r="E34" i="15"/>
  <c r="E39" i="43" s="1"/>
  <c r="C32" i="15"/>
  <c r="C37" i="43" s="1"/>
  <c r="F34" i="15"/>
  <c r="F39" i="43" s="1"/>
  <c r="G35" i="15"/>
  <c r="G40" i="43" s="1"/>
  <c r="G34" i="15"/>
  <c r="G39" i="43" s="1"/>
  <c r="F35" i="15"/>
  <c r="F40" i="43" s="1"/>
  <c r="C27" i="15"/>
  <c r="C42" i="43" s="1"/>
  <c r="D25" i="15"/>
  <c r="D41" i="43" s="1"/>
  <c r="G31" i="15"/>
  <c r="G34" i="43" s="1"/>
  <c r="B31" i="15"/>
  <c r="B34" i="43" s="1"/>
  <c r="G9" i="15"/>
  <c r="G33" i="43" s="1"/>
  <c r="E35" i="15"/>
  <c r="E40" i="43" s="1"/>
  <c r="E32" i="15"/>
  <c r="E37" i="43" s="1"/>
  <c r="B25" i="15"/>
  <c r="B41" i="43" s="1"/>
  <c r="F9" i="15"/>
  <c r="F33" i="43" s="1"/>
  <c r="D31" i="15"/>
  <c r="D34" i="43" s="1"/>
  <c r="D32" i="15"/>
  <c r="D37" i="43" s="1"/>
  <c r="C31" i="15"/>
  <c r="C34" i="43" s="1"/>
  <c r="G25" i="15"/>
  <c r="G41" i="43" s="1"/>
  <c r="I7" i="38"/>
  <c r="J7" i="38" s="1"/>
  <c r="I11" i="38"/>
  <c r="J11" i="38" s="1"/>
  <c r="I15" i="38"/>
  <c r="J15" i="38" s="1"/>
  <c r="I19" i="38"/>
  <c r="J19" i="38" s="1"/>
  <c r="I8" i="38"/>
  <c r="J8" i="38" s="1"/>
  <c r="I12" i="38"/>
  <c r="J12" i="38" s="1"/>
  <c r="I16" i="38"/>
  <c r="J16" i="38" s="1"/>
  <c r="I20" i="38"/>
  <c r="J20" i="38" s="1"/>
  <c r="I9" i="38"/>
  <c r="J9" i="38" s="1"/>
  <c r="I13" i="38"/>
  <c r="J13" i="38" s="1"/>
  <c r="I17" i="38"/>
  <c r="J17" i="38" s="1"/>
  <c r="I5" i="38"/>
  <c r="J5" i="38" s="1"/>
  <c r="I6" i="38"/>
  <c r="J6" i="38" s="1"/>
  <c r="I10" i="38"/>
  <c r="J10" i="38" s="1"/>
  <c r="I14" i="38"/>
  <c r="J14" i="38" s="1"/>
  <c r="I18" i="38"/>
  <c r="J18" i="38" s="1"/>
  <c r="D17" i="44"/>
  <c r="D18" i="44" s="1"/>
  <c r="E17" i="44"/>
  <c r="E18" i="44" s="1"/>
  <c r="G25" i="43"/>
  <c r="G196" i="43" s="1"/>
  <c r="B10" i="43"/>
  <c r="G26" i="43"/>
  <c r="E24" i="43"/>
  <c r="D23" i="43"/>
  <c r="B29" i="43"/>
  <c r="B24" i="43"/>
  <c r="B31" i="43"/>
  <c r="C33" i="43"/>
  <c r="E33" i="43"/>
  <c r="F41" i="43"/>
  <c r="C39" i="43"/>
  <c r="E34" i="43"/>
  <c r="D33" i="43"/>
  <c r="F34" i="43"/>
  <c r="G38" i="43"/>
  <c r="F37" i="43"/>
  <c r="AE7" i="38" l="1"/>
  <c r="AF7" i="38"/>
  <c r="AE15" i="38"/>
  <c r="AF15" i="38"/>
  <c r="AE17" i="38"/>
  <c r="AF17" i="38"/>
  <c r="AF16" i="38"/>
  <c r="AE16" i="38"/>
  <c r="AE8" i="38"/>
  <c r="AF8" i="38"/>
  <c r="AF6" i="38"/>
  <c r="AE6" i="38"/>
  <c r="AE18" i="38"/>
  <c r="AF18" i="38"/>
  <c r="AE19" i="38"/>
  <c r="AF19" i="38"/>
  <c r="AE10" i="38"/>
  <c r="AF10" i="38"/>
  <c r="AF11" i="38"/>
  <c r="AE11" i="38"/>
  <c r="AE5" i="38"/>
  <c r="AF5" i="38"/>
  <c r="AE14" i="38"/>
  <c r="AF14" i="38"/>
  <c r="AE12" i="38"/>
  <c r="AF12" i="38"/>
  <c r="AF13" i="38"/>
  <c r="AE13" i="38"/>
  <c r="AE9" i="38"/>
  <c r="AF9" i="38"/>
  <c r="AE20" i="38"/>
  <c r="AF20" i="38"/>
  <c r="C196" i="43"/>
  <c r="C96" i="43"/>
  <c r="C26" i="43"/>
  <c r="G10" i="43"/>
  <c r="F17" i="44"/>
  <c r="F18" i="44" s="1"/>
  <c r="C17" i="44"/>
  <c r="C18" i="44" s="1"/>
  <c r="C20" i="44" s="1"/>
  <c r="C10" i="43"/>
  <c r="B50" i="43"/>
  <c r="B51" i="43" s="1"/>
  <c r="B52" i="43" s="1"/>
  <c r="G60" i="43" s="1"/>
  <c r="E9" i="43"/>
  <c r="G36" i="43"/>
  <c r="C9" i="43"/>
  <c r="E26" i="43"/>
  <c r="G24" i="43"/>
  <c r="G100" i="43" s="1"/>
  <c r="G101" i="43" s="1"/>
  <c r="F26" i="43"/>
  <c r="F24" i="43"/>
  <c r="F100" i="43" s="1"/>
  <c r="F101" i="43" s="1"/>
  <c r="C24" i="43"/>
  <c r="C100" i="43" s="1"/>
  <c r="C101" i="43" s="1"/>
  <c r="D24" i="43"/>
  <c r="D100" i="43" s="1"/>
  <c r="D101" i="43" s="1"/>
  <c r="G28" i="43"/>
  <c r="G6" i="44" s="1"/>
  <c r="G12" i="44" s="1"/>
  <c r="E12" i="44"/>
  <c r="E15" i="44" s="1"/>
  <c r="E21" i="44" s="1"/>
  <c r="D15" i="44"/>
  <c r="D21" i="44" s="1"/>
  <c r="F64" i="43"/>
  <c r="F6" i="44"/>
  <c r="F12" i="44" s="1"/>
  <c r="F117" i="43"/>
  <c r="F118" i="43"/>
  <c r="F122" i="43" s="1"/>
  <c r="G117" i="43"/>
  <c r="G121" i="43" s="1"/>
  <c r="G118" i="43"/>
  <c r="D117" i="43"/>
  <c r="D121" i="43" s="1"/>
  <c r="D118" i="43"/>
  <c r="D122" i="43" s="1"/>
  <c r="C118" i="43"/>
  <c r="C122" i="43" s="1"/>
  <c r="E117" i="43"/>
  <c r="E121" i="43" s="1"/>
  <c r="E118" i="43"/>
  <c r="E122" i="43" s="1"/>
  <c r="C117" i="43"/>
  <c r="C121" i="43" s="1"/>
  <c r="C103" i="43"/>
  <c r="G103" i="43"/>
  <c r="D103" i="43"/>
  <c r="E103" i="43"/>
  <c r="F103" i="43"/>
  <c r="E47" i="43"/>
  <c r="F47" i="43"/>
  <c r="G47" i="43"/>
  <c r="B142" i="43"/>
  <c r="B141" i="43"/>
  <c r="E96" i="43"/>
  <c r="E97" i="43" s="1"/>
  <c r="D96" i="43"/>
  <c r="D97" i="43" s="1"/>
  <c r="G63" i="43"/>
  <c r="G96" i="43"/>
  <c r="G97" i="43" s="1"/>
  <c r="C97" i="43"/>
  <c r="E100" i="43"/>
  <c r="E101" i="43" s="1"/>
  <c r="F96" i="43"/>
  <c r="F97" i="43" s="1"/>
  <c r="B232" i="43" l="1"/>
  <c r="C92" i="26" s="1"/>
  <c r="C21" i="44"/>
  <c r="E156" i="43"/>
  <c r="F156" i="43" s="1"/>
  <c r="B53" i="43"/>
  <c r="C87" i="43"/>
  <c r="E88" i="43"/>
  <c r="G87" i="43"/>
  <c r="G88" i="43"/>
  <c r="F88" i="43"/>
  <c r="D88" i="43"/>
  <c r="C88" i="43"/>
  <c r="D87" i="43"/>
  <c r="F87" i="43"/>
  <c r="E87" i="43"/>
  <c r="F143" i="43"/>
  <c r="G143" i="43" s="1"/>
  <c r="D57" i="43"/>
  <c r="D54" i="43"/>
  <c r="G54" i="43"/>
  <c r="G72" i="43" s="1"/>
  <c r="E60" i="43"/>
  <c r="D58" i="43"/>
  <c r="C59" i="43"/>
  <c r="F56" i="43"/>
  <c r="F74" i="43" s="1"/>
  <c r="F170" i="43" s="1"/>
  <c r="E55" i="43"/>
  <c r="F60" i="43"/>
  <c r="C60" i="43"/>
  <c r="C54" i="43"/>
  <c r="D60" i="43"/>
  <c r="E59" i="43"/>
  <c r="E54" i="43"/>
  <c r="G161" i="43"/>
  <c r="G205" i="43" s="1"/>
  <c r="H205" i="43" s="1"/>
  <c r="F145" i="43"/>
  <c r="F149" i="43" s="1"/>
  <c r="E145" i="43"/>
  <c r="E149" i="43" s="1"/>
  <c r="G145" i="43"/>
  <c r="G149" i="43" s="1"/>
  <c r="E143" i="43"/>
  <c r="G56" i="43"/>
  <c r="G74" i="43" s="1"/>
  <c r="G170" i="43" s="1"/>
  <c r="G58" i="43"/>
  <c r="C55" i="43"/>
  <c r="E56" i="43"/>
  <c r="E74" i="43" s="1"/>
  <c r="G57" i="43"/>
  <c r="D59" i="43"/>
  <c r="G59" i="43"/>
  <c r="G55" i="43"/>
  <c r="G73" i="43" s="1"/>
  <c r="F58" i="43"/>
  <c r="F59" i="43"/>
  <c r="F57" i="43"/>
  <c r="F55" i="43"/>
  <c r="F73" i="43" s="1"/>
  <c r="D55" i="43"/>
  <c r="F54" i="43"/>
  <c r="F72" i="43" s="1"/>
  <c r="C58" i="43"/>
  <c r="E57" i="43"/>
  <c r="E58" i="43"/>
  <c r="C57" i="43"/>
  <c r="G64" i="43"/>
  <c r="G65" i="43" s="1"/>
  <c r="G68" i="43" s="1"/>
  <c r="G15" i="44"/>
  <c r="G21" i="44" s="1"/>
  <c r="F65" i="43"/>
  <c r="F68" i="43" s="1"/>
  <c r="F15" i="44"/>
  <c r="F21" i="44" s="1"/>
  <c r="E69" i="43"/>
  <c r="G104" i="43"/>
  <c r="F106" i="43"/>
  <c r="D104" i="43"/>
  <c r="D107" i="43" s="1"/>
  <c r="F69" i="43"/>
  <c r="G69" i="43"/>
  <c r="D106" i="43"/>
  <c r="D98" i="43"/>
  <c r="G106" i="43"/>
  <c r="E104" i="43"/>
  <c r="C104" i="43"/>
  <c r="C107" i="43" s="1"/>
  <c r="C106" i="43"/>
  <c r="E106" i="43"/>
  <c r="C98" i="43"/>
  <c r="F104" i="43"/>
  <c r="G98" i="43"/>
  <c r="E98" i="43"/>
  <c r="F98" i="43"/>
  <c r="H87" i="43" l="1"/>
  <c r="H88" i="43"/>
  <c r="C89" i="43"/>
  <c r="C90" i="43" s="1"/>
  <c r="D89" i="43"/>
  <c r="D90" i="43" s="1"/>
  <c r="B24" i="44"/>
  <c r="G89" i="43"/>
  <c r="E89" i="43"/>
  <c r="F89" i="43"/>
  <c r="E170" i="43"/>
  <c r="H74" i="43"/>
  <c r="H165" i="43"/>
  <c r="G206" i="43"/>
  <c r="H206" i="43" s="1"/>
  <c r="H170" i="43"/>
  <c r="F77" i="43"/>
  <c r="F191" i="43" s="1"/>
  <c r="G77" i="43"/>
  <c r="G191" i="43" s="1"/>
  <c r="E107" i="43"/>
  <c r="E109" i="43" s="1"/>
  <c r="G107" i="43"/>
  <c r="G109" i="43" s="1"/>
  <c r="F107" i="43"/>
  <c r="F109" i="43" s="1"/>
  <c r="E179" i="43"/>
  <c r="C43" i="26" s="1"/>
  <c r="G179" i="43"/>
  <c r="C71" i="26" s="1"/>
  <c r="G79" i="43"/>
  <c r="F79" i="43"/>
  <c r="F179" i="43"/>
  <c r="C57" i="26" s="1"/>
  <c r="E79" i="43"/>
  <c r="E72" i="43"/>
  <c r="H72" i="43" s="1"/>
  <c r="C90" i="26" s="1"/>
  <c r="G156" i="43"/>
  <c r="G164" i="43" s="1"/>
  <c r="F164" i="43"/>
  <c r="G81" i="43"/>
  <c r="F81" i="43"/>
  <c r="E81" i="43"/>
  <c r="F80" i="43"/>
  <c r="G80" i="43"/>
  <c r="E80" i="43"/>
  <c r="E76" i="43"/>
  <c r="G76" i="43"/>
  <c r="C76" i="43"/>
  <c r="F76" i="43"/>
  <c r="D76" i="43"/>
  <c r="E75" i="43"/>
  <c r="C75" i="43"/>
  <c r="F75" i="43"/>
  <c r="D75" i="43"/>
  <c r="G75" i="43"/>
  <c r="G78" i="43" s="1"/>
  <c r="C73" i="43"/>
  <c r="E73" i="43"/>
  <c r="H73" i="43" s="1"/>
  <c r="D73" i="43"/>
  <c r="C72" i="43"/>
  <c r="D72" i="43"/>
  <c r="D109" i="43"/>
  <c r="C109" i="43"/>
  <c r="C110" i="43" s="1"/>
  <c r="E146" i="43"/>
  <c r="F121" i="43"/>
  <c r="C78" i="43" l="1"/>
  <c r="C91" i="43" s="1"/>
  <c r="C92" i="43" s="1"/>
  <c r="C112" i="43" s="1"/>
  <c r="C114" i="43" s="1"/>
  <c r="F78" i="43"/>
  <c r="E83" i="43"/>
  <c r="H76" i="43"/>
  <c r="H81" i="43"/>
  <c r="B236" i="43"/>
  <c r="C98" i="26" s="1"/>
  <c r="F83" i="43"/>
  <c r="G83" i="43"/>
  <c r="F90" i="43"/>
  <c r="E90" i="43"/>
  <c r="G90" i="43"/>
  <c r="H75" i="43"/>
  <c r="H79" i="43"/>
  <c r="H80" i="43"/>
  <c r="H179" i="43"/>
  <c r="E213" i="43"/>
  <c r="E180" i="43"/>
  <c r="C44" i="26" s="1"/>
  <c r="D78" i="43"/>
  <c r="D77" i="43"/>
  <c r="C77" i="43"/>
  <c r="E77" i="43"/>
  <c r="E191" i="43" s="1"/>
  <c r="E78" i="43"/>
  <c r="F213" i="43"/>
  <c r="G213" i="43"/>
  <c r="G82" i="43"/>
  <c r="C132" i="43"/>
  <c r="G110" i="43"/>
  <c r="E150" i="43"/>
  <c r="F110" i="43"/>
  <c r="D110" i="43"/>
  <c r="E110" i="43"/>
  <c r="F146" i="43"/>
  <c r="G146" i="43"/>
  <c r="H78" i="43" l="1"/>
  <c r="E91" i="43"/>
  <c r="E92" i="43" s="1"/>
  <c r="E200" i="43" s="1"/>
  <c r="B237" i="43"/>
  <c r="G171" i="43"/>
  <c r="H83" i="43"/>
  <c r="H77" i="43"/>
  <c r="E214" i="43"/>
  <c r="C7" i="26" s="1"/>
  <c r="E181" i="43"/>
  <c r="C45" i="26" s="1"/>
  <c r="E132" i="43"/>
  <c r="D132" i="43"/>
  <c r="G132" i="43"/>
  <c r="F132" i="43"/>
  <c r="F150" i="43"/>
  <c r="F152" i="43" s="1"/>
  <c r="F162" i="43" s="1"/>
  <c r="G150" i="43"/>
  <c r="E152" i="43"/>
  <c r="E151" i="43"/>
  <c r="D91" i="43"/>
  <c r="D92" i="43" s="1"/>
  <c r="D204" i="43" s="1"/>
  <c r="G91" i="43"/>
  <c r="G92" i="43" s="1"/>
  <c r="G204" i="43" s="1"/>
  <c r="E84" i="43"/>
  <c r="E172" i="43" s="1"/>
  <c r="E204" i="43" l="1"/>
  <c r="G200" i="43"/>
  <c r="E201" i="43"/>
  <c r="E203" i="43" s="1"/>
  <c r="D200" i="43"/>
  <c r="E159" i="43"/>
  <c r="E215" i="43"/>
  <c r="C10" i="26" s="1"/>
  <c r="G175" i="43"/>
  <c r="G160" i="43"/>
  <c r="E162" i="43"/>
  <c r="H164" i="43"/>
  <c r="F151" i="43"/>
  <c r="G84" i="43"/>
  <c r="G172" i="43" s="1"/>
  <c r="G151" i="43"/>
  <c r="G153" i="43" s="1"/>
  <c r="G152" i="43"/>
  <c r="G162" i="43" s="1"/>
  <c r="G112" i="43"/>
  <c r="D112" i="43"/>
  <c r="F91" i="43"/>
  <c r="E82" i="43"/>
  <c r="E171" i="43" s="1"/>
  <c r="F84" i="43"/>
  <c r="F82" i="43"/>
  <c r="F175" i="43" l="1"/>
  <c r="F171" i="43"/>
  <c r="H171" i="43" s="1"/>
  <c r="C99" i="26" s="1"/>
  <c r="H84" i="43"/>
  <c r="F172" i="43"/>
  <c r="E175" i="43"/>
  <c r="H82" i="43"/>
  <c r="E208" i="43"/>
  <c r="C201" i="43"/>
  <c r="D201" i="43"/>
  <c r="D203" i="43" s="1"/>
  <c r="D208" i="43" s="1"/>
  <c r="C204" i="43"/>
  <c r="E182" i="43"/>
  <c r="G163" i="43"/>
  <c r="H162" i="43"/>
  <c r="D114" i="43"/>
  <c r="G114" i="43"/>
  <c r="F92" i="43"/>
  <c r="F204" i="43" s="1"/>
  <c r="H204" i="43" l="1"/>
  <c r="C46" i="26"/>
  <c r="E183" i="43"/>
  <c r="C47" i="26" s="1"/>
  <c r="E229" i="43"/>
  <c r="C86" i="26" s="1"/>
  <c r="F200" i="43"/>
  <c r="C200" i="43"/>
  <c r="E216" i="43"/>
  <c r="C13" i="26" s="1"/>
  <c r="F112" i="43"/>
  <c r="F166" i="43"/>
  <c r="G166" i="43"/>
  <c r="H175" i="43"/>
  <c r="H172" i="43"/>
  <c r="F160" i="43"/>
  <c r="H163" i="43"/>
  <c r="E160" i="43"/>
  <c r="E157" i="43"/>
  <c r="E112" i="43"/>
  <c r="E114" i="43" s="1"/>
  <c r="C203" i="43" l="1"/>
  <c r="C208" i="43" s="1"/>
  <c r="E184" i="43"/>
  <c r="C48" i="26" s="1"/>
  <c r="F114" i="43"/>
  <c r="F157" i="43"/>
  <c r="G122" i="43" l="1"/>
  <c r="B128" i="43"/>
  <c r="B129" i="43" s="1"/>
  <c r="E217" i="43"/>
  <c r="C16" i="26" s="1"/>
  <c r="G157" i="43"/>
  <c r="G167" i="43" s="1"/>
  <c r="G180" i="43" s="1"/>
  <c r="C72" i="26" s="1"/>
  <c r="F167" i="43"/>
  <c r="F180" i="43" s="1"/>
  <c r="C58" i="26" s="1"/>
  <c r="H180" i="43" l="1"/>
  <c r="E185" i="43"/>
  <c r="C49" i="26" s="1"/>
  <c r="G214" i="43"/>
  <c r="C9" i="26" s="1"/>
  <c r="F214" i="43"/>
  <c r="C8" i="26" s="1"/>
  <c r="E218" i="43"/>
  <c r="C19" i="26" s="1"/>
  <c r="H166" i="43"/>
  <c r="H159" i="43"/>
  <c r="E174" i="43"/>
  <c r="H160" i="43"/>
  <c r="E219" i="43" l="1"/>
  <c r="C22" i="26" s="1"/>
  <c r="E186" i="43"/>
  <c r="C50" i="26" s="1"/>
  <c r="E176" i="43"/>
  <c r="E177" i="43" s="1"/>
  <c r="H161" i="43"/>
  <c r="E220" i="43" l="1"/>
  <c r="C25" i="26" s="1"/>
  <c r="E187" i="43"/>
  <c r="C51" i="26" s="1"/>
  <c r="H167" i="43"/>
  <c r="E221" i="43" l="1"/>
  <c r="C28" i="26" s="1"/>
  <c r="E188" i="43"/>
  <c r="C52" i="26" l="1"/>
  <c r="E189" i="43"/>
  <c r="E190" i="43" s="1"/>
  <c r="E222" i="43"/>
  <c r="C31" i="26" s="1"/>
  <c r="E224" i="43" l="1"/>
  <c r="C54" i="26"/>
  <c r="E225" i="43"/>
  <c r="C53" i="26"/>
  <c r="E223" i="43"/>
  <c r="C34" i="26" s="1"/>
  <c r="D119" i="43" l="1"/>
  <c r="D123" i="43" s="1"/>
  <c r="G119" i="43"/>
  <c r="G123" i="43" s="1"/>
  <c r="G125" i="43" s="1"/>
  <c r="E119" i="43"/>
  <c r="E123" i="43" s="1"/>
  <c r="C119" i="43"/>
  <c r="C123" i="43" s="1"/>
  <c r="C125" i="43" s="1"/>
  <c r="C133" i="43" s="1"/>
  <c r="F119" i="43"/>
  <c r="F123" i="43" s="1"/>
  <c r="F125" i="43" s="1"/>
  <c r="C55" i="26" l="1"/>
  <c r="G133" i="43"/>
  <c r="E125" i="43"/>
  <c r="D125" i="43"/>
  <c r="C37" i="26" l="1"/>
  <c r="E226" i="43"/>
  <c r="E133" i="43"/>
  <c r="F133" i="43"/>
  <c r="D133" i="43"/>
  <c r="D138" i="43" s="1"/>
  <c r="B136" i="43" l="1"/>
  <c r="G138" i="43"/>
  <c r="B135" i="43"/>
  <c r="E138" i="43"/>
  <c r="E197" i="43" l="1"/>
  <c r="G197" i="43"/>
  <c r="D197" i="43"/>
  <c r="D5" i="44"/>
  <c r="D11" i="44" s="1"/>
  <c r="D14" i="44" s="1"/>
  <c r="D20" i="44" s="1"/>
  <c r="E5" i="44"/>
  <c r="E11" i="44" s="1"/>
  <c r="G5" i="44"/>
  <c r="G11" i="44" s="1"/>
  <c r="F138" i="43"/>
  <c r="F197" i="43" l="1"/>
  <c r="E14" i="44"/>
  <c r="E20" i="44" s="1"/>
  <c r="F5" i="44"/>
  <c r="F11" i="44" s="1"/>
  <c r="G14" i="44" s="1"/>
  <c r="G20" i="44" s="1"/>
  <c r="B233" i="43"/>
  <c r="C93" i="26" s="1"/>
  <c r="G169" i="43"/>
  <c r="H169" i="43" s="1"/>
  <c r="F168" i="43"/>
  <c r="F174" i="43" s="1"/>
  <c r="B234" i="43" l="1"/>
  <c r="C94" i="26" s="1"/>
  <c r="F14" i="44"/>
  <c r="F20" i="44" s="1"/>
  <c r="B23" i="44" s="1"/>
  <c r="B26" i="44" s="1"/>
  <c r="G198" i="43"/>
  <c r="G201" i="43" s="1"/>
  <c r="G203" i="43" s="1"/>
  <c r="G208" i="43" s="1"/>
  <c r="F198" i="43"/>
  <c r="F201" i="43" s="1"/>
  <c r="F203" i="43" s="1"/>
  <c r="F208" i="43" s="1"/>
  <c r="F181" i="43"/>
  <c r="C59" i="26" s="1"/>
  <c r="G168" i="43"/>
  <c r="G181" i="43" s="1"/>
  <c r="C73" i="26" s="1"/>
  <c r="C96" i="26" l="1"/>
  <c r="H203" i="43"/>
  <c r="G229" i="43"/>
  <c r="C88" i="26" s="1"/>
  <c r="H181" i="43"/>
  <c r="F182" i="43"/>
  <c r="C60" i="26" s="1"/>
  <c r="F215" i="43"/>
  <c r="C11" i="26" s="1"/>
  <c r="H168" i="43"/>
  <c r="C95" i="26" s="1"/>
  <c r="F176" i="43"/>
  <c r="F177" i="43" s="1"/>
  <c r="G174" i="43"/>
  <c r="F229" i="43" l="1"/>
  <c r="C87" i="26" s="1"/>
  <c r="H208" i="43"/>
  <c r="C89" i="26" s="1"/>
  <c r="F216" i="43"/>
  <c r="C14" i="26" s="1"/>
  <c r="F183" i="43"/>
  <c r="C61" i="26" s="1"/>
  <c r="G215" i="43"/>
  <c r="C12" i="26" s="1"/>
  <c r="G182" i="43"/>
  <c r="C74" i="26" s="1"/>
  <c r="G176" i="43"/>
  <c r="G177" i="43" s="1"/>
  <c r="H174" i="43"/>
  <c r="H176" i="43" s="1"/>
  <c r="H177" i="43" s="1"/>
  <c r="H182" i="43" l="1"/>
  <c r="F217" i="43"/>
  <c r="C17" i="26" s="1"/>
  <c r="F184" i="43"/>
  <c r="C62" i="26" s="1"/>
  <c r="G183" i="43"/>
  <c r="C75" i="26" s="1"/>
  <c r="G216" i="43"/>
  <c r="C15" i="26" s="1"/>
  <c r="G217" i="43" l="1"/>
  <c r="C18" i="26" s="1"/>
  <c r="F185" i="43"/>
  <c r="C63" i="26" s="1"/>
  <c r="H183" i="43"/>
  <c r="F218" i="43"/>
  <c r="C20" i="26" s="1"/>
  <c r="G184" i="43"/>
  <c r="C76" i="26" s="1"/>
  <c r="F186" i="43" l="1"/>
  <c r="C64" i="26" s="1"/>
  <c r="G185" i="43"/>
  <c r="C77" i="26" s="1"/>
  <c r="F219" i="43"/>
  <c r="C23" i="26" s="1"/>
  <c r="H184" i="43"/>
  <c r="G218" i="43"/>
  <c r="C21" i="26" s="1"/>
  <c r="F187" i="43" l="1"/>
  <c r="C65" i="26" s="1"/>
  <c r="G219" i="43"/>
  <c r="C24" i="26" s="1"/>
  <c r="F220" i="43"/>
  <c r="C26" i="26" s="1"/>
  <c r="H185" i="43"/>
  <c r="G186" i="43"/>
  <c r="C78" i="26" s="1"/>
  <c r="F221" i="43" l="1"/>
  <c r="C29" i="26" s="1"/>
  <c r="F188" i="43"/>
  <c r="G220" i="43"/>
  <c r="C27" i="26" s="1"/>
  <c r="H186" i="43"/>
  <c r="G187" i="43"/>
  <c r="C79" i="26" s="1"/>
  <c r="C66" i="26" l="1"/>
  <c r="F189" i="43"/>
  <c r="F190" i="43" s="1"/>
  <c r="F222" i="43"/>
  <c r="C32" i="26" s="1"/>
  <c r="H187" i="43"/>
  <c r="G221" i="43"/>
  <c r="C30" i="26" s="1"/>
  <c r="G188" i="43"/>
  <c r="F224" i="43" l="1"/>
  <c r="C68" i="26"/>
  <c r="F225" i="43"/>
  <c r="C80" i="26"/>
  <c r="G189" i="43"/>
  <c r="G190" i="43" s="1"/>
  <c r="C82" i="26" s="1"/>
  <c r="C67" i="26"/>
  <c r="F223" i="43"/>
  <c r="C35" i="26" s="1"/>
  <c r="H188" i="43"/>
  <c r="G222" i="43"/>
  <c r="C33" i="26" s="1"/>
  <c r="G225" i="43" l="1"/>
  <c r="G224" i="43"/>
  <c r="H190" i="43"/>
  <c r="C81" i="26"/>
  <c r="C83" i="26"/>
  <c r="H189" i="43"/>
  <c r="G223" i="43"/>
  <c r="C36" i="26" s="1"/>
  <c r="C39" i="26" l="1"/>
  <c r="C69" i="26"/>
  <c r="H191" i="43"/>
  <c r="G226" i="43"/>
  <c r="C38" i="26" l="1"/>
  <c r="F226" i="43"/>
</calcChain>
</file>

<file path=xl/comments1.xml><?xml version="1.0" encoding="utf-8"?>
<comments xmlns="http://schemas.openxmlformats.org/spreadsheetml/2006/main">
  <authors>
    <author>michaelw</author>
  </authors>
  <commentList>
    <comment ref="A6" authorId="0">
      <text>
        <r>
          <rPr>
            <sz val="9"/>
            <color indexed="81"/>
            <rFont val="Tahoma"/>
            <family val="2"/>
          </rPr>
          <t>Total regulatory income for 2011 from old ID templates, excl. AC loss rentals and capital contributions &amp; vested assets</t>
        </r>
      </text>
    </comment>
    <comment ref="P70" authorId="0">
      <text>
        <r>
          <rPr>
            <sz val="9"/>
            <color indexed="81"/>
            <rFont val="Tahoma"/>
            <family val="2"/>
          </rPr>
          <t>Removing ACOT from PT&amp;RC</t>
        </r>
      </text>
    </comment>
    <comment ref="R70" authorId="0">
      <text>
        <r>
          <rPr>
            <b/>
            <sz val="9"/>
            <color indexed="81"/>
            <rFont val="Tahoma"/>
            <family val="2"/>
          </rPr>
          <t xml:space="preserve">Restated in 2015 for IRR calc </t>
        </r>
        <r>
          <rPr>
            <sz val="9"/>
            <color indexed="81"/>
            <rFont val="Tahoma"/>
            <family val="2"/>
          </rPr>
          <t>(restated amount excludes ACOT)</t>
        </r>
      </text>
    </comment>
    <comment ref="S70" authorId="0">
      <text>
        <r>
          <rPr>
            <b/>
            <sz val="9"/>
            <color indexed="81"/>
            <rFont val="Tahoma"/>
            <family val="2"/>
          </rPr>
          <t xml:space="preserve">Restated in 2015 for IRR calc </t>
        </r>
        <r>
          <rPr>
            <sz val="9"/>
            <color indexed="81"/>
            <rFont val="Tahoma"/>
            <family val="2"/>
          </rPr>
          <t>(restated amount excludes ACOT)</t>
        </r>
      </text>
    </comment>
    <comment ref="P71" authorId="0">
      <text>
        <r>
          <rPr>
            <sz val="9"/>
            <color indexed="81"/>
            <rFont val="Tahoma"/>
            <family val="2"/>
          </rPr>
          <t>Removing ACOT from PT&amp;RC</t>
        </r>
      </text>
    </comment>
    <comment ref="R71" authorId="0">
      <text>
        <r>
          <rPr>
            <b/>
            <sz val="9"/>
            <color indexed="81"/>
            <rFont val="Tahoma"/>
            <family val="2"/>
          </rPr>
          <t>Restated in 2015 for IRR calc (</t>
        </r>
        <r>
          <rPr>
            <sz val="9"/>
            <color indexed="81"/>
            <rFont val="Tahoma"/>
            <family val="2"/>
          </rPr>
          <t>restated amount excludes ACOT)</t>
        </r>
      </text>
    </comment>
    <comment ref="S71" authorId="0">
      <text>
        <r>
          <rPr>
            <b/>
            <sz val="9"/>
            <color indexed="81"/>
            <rFont val="Tahoma"/>
            <family val="2"/>
          </rPr>
          <t xml:space="preserve">Restated in 2015 for IRR calc </t>
        </r>
        <r>
          <rPr>
            <sz val="9"/>
            <color indexed="81"/>
            <rFont val="Tahoma"/>
            <family val="2"/>
          </rPr>
          <t>(restated amount excludes ACOT)</t>
        </r>
      </text>
    </comment>
    <comment ref="O72" authorId="0">
      <text>
        <r>
          <rPr>
            <sz val="9"/>
            <color indexed="81"/>
            <rFont val="Tahoma"/>
            <family val="2"/>
          </rPr>
          <t>Removing ACOT from PT&amp;RC</t>
        </r>
      </text>
    </comment>
    <comment ref="P72" authorId="0">
      <text>
        <r>
          <rPr>
            <sz val="9"/>
            <color indexed="81"/>
            <rFont val="Tahoma"/>
            <family val="2"/>
          </rPr>
          <t>6000 excluded for 2015 claw-back. 305 removed for ACOT</t>
        </r>
      </text>
    </comment>
    <comment ref="A73" authorId="0">
      <text>
        <r>
          <rPr>
            <sz val="9"/>
            <color indexed="81"/>
            <rFont val="Tahoma"/>
            <family val="2"/>
          </rPr>
          <t>Not a disclosed item in old disclosures. Used real average of subsequent 4 years</t>
        </r>
      </text>
    </comment>
    <comment ref="A83" authorId="0">
      <text>
        <r>
          <rPr>
            <sz val="9"/>
            <color indexed="81"/>
            <rFont val="Tahoma"/>
            <family val="2"/>
          </rPr>
          <t>There is no line item in the 2012 model for gains/losses on disposals.</t>
        </r>
      </text>
    </comment>
    <comment ref="P93" authorId="0">
      <text>
        <r>
          <rPr>
            <sz val="9"/>
            <color indexed="81"/>
            <rFont val="Tahoma"/>
            <family val="2"/>
          </rPr>
          <t>ACOT assumption</t>
        </r>
      </text>
    </comment>
    <comment ref="R93" authorId="0">
      <text>
        <r>
          <rPr>
            <sz val="9"/>
            <color indexed="81"/>
            <rFont val="Tahoma"/>
            <family val="2"/>
          </rPr>
          <t>ACOT from compliance statement</t>
        </r>
      </text>
    </comment>
    <comment ref="S93" authorId="0">
      <text>
        <r>
          <rPr>
            <sz val="9"/>
            <color indexed="81"/>
            <rFont val="Tahoma"/>
            <family val="2"/>
          </rPr>
          <t>ACOT from compliance statement</t>
        </r>
      </text>
    </comment>
    <comment ref="P94" authorId="0">
      <text>
        <r>
          <rPr>
            <sz val="9"/>
            <color indexed="81"/>
            <rFont val="Tahoma"/>
            <family val="2"/>
          </rPr>
          <t>ACOT from compliance statement</t>
        </r>
      </text>
    </comment>
    <comment ref="R94" authorId="0">
      <text>
        <r>
          <rPr>
            <sz val="9"/>
            <color indexed="81"/>
            <rFont val="Tahoma"/>
            <family val="2"/>
          </rPr>
          <t>ACOT from compliance statement</t>
        </r>
      </text>
    </comment>
    <comment ref="S94" authorId="0">
      <text>
        <r>
          <rPr>
            <sz val="9"/>
            <color indexed="81"/>
            <rFont val="Tahoma"/>
            <family val="2"/>
          </rPr>
          <t>ACOT from compliance statement</t>
        </r>
      </text>
    </comment>
    <comment ref="O95" authorId="0">
      <text>
        <r>
          <rPr>
            <sz val="9"/>
            <color indexed="81"/>
            <rFont val="Tahoma"/>
            <family val="2"/>
          </rPr>
          <t>ACOT from compliance statement</t>
        </r>
      </text>
    </comment>
    <comment ref="P95" authorId="0">
      <text>
        <r>
          <rPr>
            <sz val="9"/>
            <color indexed="81"/>
            <rFont val="Tahoma"/>
            <family val="2"/>
          </rPr>
          <t>ACOT from compliance statement</t>
        </r>
      </text>
    </comment>
  </commentList>
</comments>
</file>

<file path=xl/comments2.xml><?xml version="1.0" encoding="utf-8"?>
<comments xmlns="http://schemas.openxmlformats.org/spreadsheetml/2006/main">
  <authors>
    <author>michaelw</author>
    <author>robertg</author>
  </authors>
  <commentList>
    <comment ref="A48" authorId="0">
      <text>
        <r>
          <rPr>
            <sz val="9"/>
            <color indexed="81"/>
            <rFont val="Tahoma"/>
            <family val="2"/>
          </rPr>
          <t>Converting EDB revenue from revenue date to year-end terms</t>
        </r>
      </text>
    </comment>
    <comment ref="A70" authorId="0">
      <text>
        <r>
          <rPr>
            <sz val="9"/>
            <color indexed="81"/>
            <rFont val="Tahoma"/>
            <family val="2"/>
          </rPr>
          <t>Converting EDB revenue from revenue date to year-end terms</t>
        </r>
      </text>
    </comment>
    <comment ref="A85" authorId="0">
      <text>
        <r>
          <rPr>
            <sz val="9"/>
            <color indexed="81"/>
            <rFont val="Tahoma"/>
            <family val="2"/>
          </rPr>
          <t>Calculating extent to which EDB priced up to its price cap</t>
        </r>
      </text>
    </comment>
    <comment ref="A89" authorId="0">
      <text>
        <r>
          <rPr>
            <sz val="9"/>
            <color indexed="81"/>
            <rFont val="Tahoma"/>
            <family val="2"/>
          </rPr>
          <t>Ratio of ANR to NR</t>
        </r>
      </text>
    </comment>
    <comment ref="A92" authorId="0">
      <text>
        <r>
          <rPr>
            <sz val="9"/>
            <color indexed="81"/>
            <rFont val="Tahoma"/>
            <family val="2"/>
          </rPr>
          <t>Disclosed revenue converted to year-end terms and pro-rated by the ratio of ANR to NR</t>
        </r>
      </text>
    </comment>
    <comment ref="A110" authorId="0">
      <text>
        <r>
          <rPr>
            <sz val="9"/>
            <color indexed="81"/>
            <rFont val="Tahoma"/>
            <family val="2"/>
          </rPr>
          <t>Index of  CPI-X growth, with actual CPI in early years and forecast CPI in final years</t>
        </r>
      </text>
    </comment>
    <comment ref="A114" authorId="0">
      <text>
        <r>
          <rPr>
            <sz val="9"/>
            <color indexed="81"/>
            <rFont val="Tahoma"/>
            <family val="2"/>
          </rPr>
          <t>Disclosed revenue converted to year-end terms,  pro-rated by the ratio of ANR to NR, deflated by CPI-X growth with actual CPI in all years; reflated by actual CPI-X growth with CPI in early years and forecast CPI in final years</t>
        </r>
      </text>
    </comment>
    <comment ref="A115" authorId="0">
      <text>
        <r>
          <rPr>
            <sz val="9"/>
            <color indexed="81"/>
            <rFont val="Tahoma"/>
            <family val="2"/>
          </rPr>
          <t>Shows what revenue would have been if Δd was accurate (ie actual was equal to forecast)</t>
        </r>
      </text>
    </comment>
    <comment ref="A125" authorId="1">
      <text>
        <r>
          <rPr>
            <sz val="9"/>
            <color indexed="81"/>
            <rFont val="Tahoma"/>
            <family val="2"/>
          </rPr>
          <t>[Achievable revenue (CP, year end, pricing = limit) if actual CPI = forecast CPI] with, for all but 4 EDBs (Alpine Energy, Centralines, Orion, The Lines Company, Top Energy), the 2014 value replaced by year-end MAR and 2015 value grown by underlying growth rate</t>
        </r>
      </text>
    </comment>
    <comment ref="A129" authorId="0">
      <text>
        <r>
          <rPr>
            <sz val="9"/>
            <color indexed="81"/>
            <rFont val="Tahoma"/>
            <family val="2"/>
          </rPr>
          <t>2014 value of  [Achievable revenue (CP, year end, pricing = limit) if actual CPI = forecast CPI] PLUS pass-through costs] DIVIDED BY 2014 value of [ANR PLUS pass-through costs]</t>
        </r>
      </text>
    </comment>
    <comment ref="A138" authorId="1">
      <text>
        <r>
          <rPr>
            <sz val="9"/>
            <color indexed="81"/>
            <rFont val="Tahoma"/>
            <family val="2"/>
          </rPr>
          <t>Year-on-year growth of [Deflated revenue (KP)] but for all but 4 EDBs 2014 value swapped with ΔD/(2013 value)</t>
        </r>
      </text>
    </comment>
  </commentList>
</comments>
</file>

<file path=xl/sharedStrings.xml><?xml version="1.0" encoding="utf-8"?>
<sst xmlns="http://schemas.openxmlformats.org/spreadsheetml/2006/main" count="778" uniqueCount="301">
  <si>
    <t>Description</t>
  </si>
  <si>
    <t>Table of Contents</t>
  </si>
  <si>
    <t>Sheet Name</t>
  </si>
  <si>
    <t>Link</t>
  </si>
  <si>
    <t>General Description</t>
  </si>
  <si>
    <t>Electricity Distribution Business</t>
  </si>
  <si>
    <t>Year</t>
  </si>
  <si>
    <t>CPI adjustments allowed under previous determination</t>
  </si>
  <si>
    <t>Industry</t>
  </si>
  <si>
    <t>Forecast CPRG</t>
  </si>
  <si>
    <t>Individual</t>
  </si>
  <si>
    <t>Indexed value</t>
  </si>
  <si>
    <t>WACC</t>
  </si>
  <si>
    <t>Last day in pricing year</t>
  </si>
  <si>
    <t>Date revenue is received (on average)</t>
  </si>
  <si>
    <t>Days in year</t>
  </si>
  <si>
    <t>X factor</t>
  </si>
  <si>
    <t>Actual CPI change - Annual compliance statement</t>
  </si>
  <si>
    <t>MAR set for business in 2014?</t>
  </si>
  <si>
    <t>NR</t>
  </si>
  <si>
    <t>ANR</t>
  </si>
  <si>
    <t>Type</t>
  </si>
  <si>
    <t>The Lines Company</t>
  </si>
  <si>
    <t>Electricity Invercargill</t>
  </si>
  <si>
    <t>Electricity Ashburton</t>
  </si>
  <si>
    <t>Aurora Energy</t>
  </si>
  <si>
    <t>INDUSTRY</t>
  </si>
  <si>
    <t>Value</t>
  </si>
  <si>
    <t>Actual revenue (CP, year end)</t>
  </si>
  <si>
    <t>Timing assumption</t>
  </si>
  <si>
    <t>Remaining days as a proportion of total days in the year</t>
  </si>
  <si>
    <t>Days remaining in year from the average date revenue is received</t>
  </si>
  <si>
    <t>Achievable revenue (CP, year end, pricing = limit)</t>
  </si>
  <si>
    <t>Year-on-year CPI values that apply in deflator series</t>
  </si>
  <si>
    <t>Pricing relative to limit</t>
  </si>
  <si>
    <t>Achievable revenue (CP, year end, pricing = limit) if actual CPI = forecast CPI</t>
  </si>
  <si>
    <t>Years in which CPI forecast error DOES NOT occur for business in question</t>
  </si>
  <si>
    <t>Years in which CPI forecast error DOES occur for business in question</t>
  </si>
  <si>
    <t>Forecast CPI-X% change included in November 2012 financial model</t>
  </si>
  <si>
    <t>Actual CPI-X% change included in annual compliance statement</t>
  </si>
  <si>
    <t>Allowable revenue unaffected by MAR value specified in determination</t>
  </si>
  <si>
    <t>Adjusted revenue in year after MAR value applies</t>
  </si>
  <si>
    <t>Adjusted revenue in year in which MAR value DOES apply</t>
  </si>
  <si>
    <t>Years in which allowable revenue is unaffected by MAR value in determination</t>
  </si>
  <si>
    <t>Year in which MAR value applies (where relevant)</t>
  </si>
  <si>
    <t>Change in achievable revenue from 2012 to 2014 (KAP, year end, pricing = limit)</t>
  </si>
  <si>
    <t>Achievable revenue in 2014 (CP, year end, pricing = limit) if actual CPI = forecast CPI</t>
  </si>
  <si>
    <t>Actual constant average price revenue growth</t>
  </si>
  <si>
    <t>MAR based</t>
  </si>
  <si>
    <t>Constant average price revenue growth 2013 to 2014</t>
  </si>
  <si>
    <t>AROC based</t>
  </si>
  <si>
    <t>Deflated revenue (KP)</t>
  </si>
  <si>
    <t>Modelled achievable revenue - no reset</t>
  </si>
  <si>
    <t>Achievable revenue under NEW determination (CP, year end) - no reset</t>
  </si>
  <si>
    <t>Achievable revenue under OLD determination (CP, year end)</t>
  </si>
  <si>
    <t>Index for achievable revenue for years in which new determination applies</t>
  </si>
  <si>
    <t>Allowed CPI adjustments (OLD)</t>
  </si>
  <si>
    <t>Years in which new determination applied</t>
  </si>
  <si>
    <t>Years in which old determination applied</t>
  </si>
  <si>
    <t>Input Data</t>
  </si>
  <si>
    <t>Headroom</t>
  </si>
  <si>
    <t>Item</t>
  </si>
  <si>
    <t>Analysis of EDB Performance 2010–2015</t>
  </si>
  <si>
    <t>Data</t>
  </si>
  <si>
    <t>Output</t>
  </si>
  <si>
    <t>Achievable revenue if actual ΔD used to set prices</t>
  </si>
  <si>
    <t>Achievable revenue if prices not reset in 2012</t>
  </si>
  <si>
    <t>Actual constant price revenue growth</t>
  </si>
  <si>
    <t>Actual ΔD</t>
  </si>
  <si>
    <t>Input</t>
  </si>
  <si>
    <t>Calculation</t>
  </si>
  <si>
    <t>EDB number</t>
  </si>
  <si>
    <t>EDB name</t>
  </si>
  <si>
    <t>Selected EDB</t>
  </si>
  <si>
    <t>EDB Selection</t>
  </si>
  <si>
    <t>Year (if applicable)</t>
  </si>
  <si>
    <t>EDB selection table</t>
  </si>
  <si>
    <t>Worksheet to select EDB for display</t>
  </si>
  <si>
    <t>Worksheet for all data entry (except active EDB is selected on the 'EDB select' worksheet)</t>
  </si>
  <si>
    <t>Achievable revenue (CP, year end, pricing = limit) if actual CPI = forecast CPI AND actual ΔD = assumed ΔD</t>
  </si>
  <si>
    <t>Forecast CPRG 2012-14 - 'ΔD'</t>
  </si>
  <si>
    <t>Achievable revenue if actual CPI used to set prices</t>
  </si>
  <si>
    <t>Source</t>
  </si>
  <si>
    <t>ID database</t>
  </si>
  <si>
    <t>PQR compliance disclosures</t>
  </si>
  <si>
    <t>#</t>
  </si>
  <si>
    <t>MAR value in determination (revenue date)</t>
  </si>
  <si>
    <t>MAR value in determination (year end)</t>
  </si>
  <si>
    <t>Forecast CPI index (base year 2013)</t>
  </si>
  <si>
    <t>Forecast CPRG index (base year 2013)</t>
  </si>
  <si>
    <t>Forecast price path index with X=0 (base year 2013)</t>
  </si>
  <si>
    <t>PV of Forecast price path index with X=0 (base year 2013)</t>
  </si>
  <si>
    <t>x=0, Revenue path calculated using 2009 forecast of CPI (year end)</t>
  </si>
  <si>
    <t>x=supplier, Revenue path calculated using 2009 forecast of CPI (year end)</t>
  </si>
  <si>
    <t>Forecast CPI change (2012 forecast) - November 2012 financial model</t>
  </si>
  <si>
    <t>Forecast CPI change (2009 forecast) - November 2012 financial model</t>
  </si>
  <si>
    <t>Expected revenue from 2012 model (row 259) - supplier x, no cap, no adj for actual inflation (revenue date)</t>
  </si>
  <si>
    <t>PV of BBAR from 2012 model</t>
  </si>
  <si>
    <t>Impact of CPI forecast error that would have occurred during the 3 year NPV period</t>
  </si>
  <si>
    <t>Capped?</t>
  </si>
  <si>
    <t>AROC?</t>
  </si>
  <si>
    <t>Expected revenue from 2012 model (row 264) - supplier X, cap if applicable, no adj for 1yr inflation if capped, adj for 1yr inflation otherwise (revenue date)</t>
  </si>
  <si>
    <t>Expected revenue from 2012 model - adj for 1yr inflation (year end)</t>
  </si>
  <si>
    <t>Revenue path calculated using 2009 forecast of CPI (year end)</t>
  </si>
  <si>
    <t>Revenue path updated to include estimated impact of 1 year of actual inflation (year end)</t>
  </si>
  <si>
    <t>Revenue path updated to include impact of actual inflation in all years (year end)</t>
  </si>
  <si>
    <t>Year preceding PV date</t>
  </si>
  <si>
    <t>Discount factor for 1 April 2015</t>
  </si>
  <si>
    <t>Impact of delay to reset</t>
  </si>
  <si>
    <t>Impact of headroom</t>
  </si>
  <si>
    <t>Impact of one year CPI error 12/13 to 13/14</t>
  </si>
  <si>
    <t>Impact of one year CPI error 13/14 to 14/15</t>
  </si>
  <si>
    <t>Impact of 10% cap</t>
  </si>
  <si>
    <t>Impact of error calculating 12/13 MAR</t>
  </si>
  <si>
    <t>Impact of one year of CPRG error 12/13 to 13/14</t>
  </si>
  <si>
    <t>Impact of one year of CPRG error 13/14 to 14/15</t>
  </si>
  <si>
    <t>total calculated differences</t>
  </si>
  <si>
    <t>total difference (actual less expected)</t>
  </si>
  <si>
    <t>explained difference</t>
  </si>
  <si>
    <t>unexplained difference / interaction terms</t>
  </si>
  <si>
    <t>Revenue path from 2012 model,  supplier X, no adj for actual inflation (year end)</t>
  </si>
  <si>
    <t>Revenue path from 2012 model, supplier X, adj for 1 year actual inflation (year end)</t>
  </si>
  <si>
    <t>NPV wash up for 2013-15 (PV as at 31 March 2015)</t>
  </si>
  <si>
    <t>Reduction in revenue caused by 1 year of CPI error</t>
  </si>
  <si>
    <t>PV as at 1 April 2015</t>
  </si>
  <si>
    <t>Estimated MAR from Nov 2012 model corresponding to disclosed ANR for 12/13 (rev date)</t>
  </si>
  <si>
    <t>Data and graphs for report</t>
  </si>
  <si>
    <t>Estimated CPRG</t>
  </si>
  <si>
    <t>Difference</t>
  </si>
  <si>
    <t>3 year constant price revenue growth</t>
  </si>
  <si>
    <t>Output table</t>
  </si>
  <si>
    <t>CPI indexation error</t>
  </si>
  <si>
    <t>Actual CPI-X annual growth</t>
  </si>
  <si>
    <t>Forecast CPI-X annual growth</t>
  </si>
  <si>
    <t>Forecast CPI-X% annual growth for inflator series</t>
  </si>
  <si>
    <t>Actual CPI-X% annual growth for inflator series</t>
  </si>
  <si>
    <t>CPI-X% annual growth for inflator series</t>
  </si>
  <si>
    <t>CPI-X deflator index</t>
  </si>
  <si>
    <t>CPI-X inflator index (KAP inflated using forecast CPI-X%)</t>
  </si>
  <si>
    <t>CPI-X inflator index (CPI change from DPP model )</t>
  </si>
  <si>
    <t>CPI-X deflator index (actual CPI change)</t>
  </si>
  <si>
    <t>Achievable revenue with CPI-X deflator and CPI-X inflator applied</t>
  </si>
  <si>
    <t>Deflated revenue (KAP)</t>
  </si>
  <si>
    <t>Achievable revenue with CPI-X deflator applied</t>
  </si>
  <si>
    <t>Actual constant average price revenue growth factor</t>
  </si>
  <si>
    <t>Actual pass through costs and recoverable costs (intra year)</t>
  </si>
  <si>
    <t>Actual gains/losses on disposal (intra year)</t>
  </si>
  <si>
    <t>Actual other regulated income other than gains/losses on disposal (intra year)</t>
  </si>
  <si>
    <t>Forecast gains/losses on disposal (intra year)</t>
  </si>
  <si>
    <t>Forecast other regulated income other than gains/losses on disposal (intra year)</t>
  </si>
  <si>
    <t>Revenue timing adjustments</t>
  </si>
  <si>
    <t>Actual gains/losses on disposal (year end)</t>
  </si>
  <si>
    <t>Actual other regulated income other than gains/losses on disposal (year end)</t>
  </si>
  <si>
    <t>Forecast gains/losses on disposal (year end)</t>
  </si>
  <si>
    <t>Forecast other regulated income other than gains/losses on disposal (year end)</t>
  </si>
  <si>
    <t>Actual pass through costs and recoverable costs (year end)</t>
  </si>
  <si>
    <t>Impact of clawback amount as at 31 March 2015 (either recovered during 2015 or closing asset value)</t>
  </si>
  <si>
    <t>Actual line charge revenue consistent with November 2012 model (CP, year end)</t>
  </si>
  <si>
    <t>Actual total regulatory income (CP, year end)</t>
  </si>
  <si>
    <t>Actual total regulatory income (CP, intra year)</t>
  </si>
  <si>
    <t>Forecast line charge revenue net of PTC&amp;RC and consistent with 8.77% return (CP, year end)</t>
  </si>
  <si>
    <t>Forecast line charge revenue net of PTC&amp;RC and consistent with 8.77% return (CP, year end) - updated for actual ORI incl. gains/losses on disposal</t>
  </si>
  <si>
    <t>Compliance statements</t>
  </si>
  <si>
    <t>2012 DPP model</t>
  </si>
  <si>
    <t>Calculations</t>
  </si>
  <si>
    <t>Inputs</t>
  </si>
  <si>
    <t>ORI and Gains/Losses on disposals</t>
  </si>
  <si>
    <t>Original revenue path corresponding to forecast return of WACC</t>
  </si>
  <si>
    <t>General parameters</t>
  </si>
  <si>
    <t>EDB parameters</t>
  </si>
  <si>
    <t>Time-series (rates of change)</t>
  </si>
  <si>
    <t>Time-series (revenues)</t>
  </si>
  <si>
    <t>This worksheet uses Excel's data table facility to display the calculated results for all suppliers.</t>
  </si>
  <si>
    <t>PV</t>
  </si>
  <si>
    <t>Outputs</t>
  </si>
  <si>
    <t>Forecast CPRG (2012/13 - 2014/15)</t>
  </si>
  <si>
    <t>Estimated CPRG (2012/13 - 2014/15)</t>
  </si>
  <si>
    <t>Impact of ΔD and CPRG</t>
  </si>
  <si>
    <t>Impact of forecast anomalies on revenue</t>
  </si>
  <si>
    <t>Capped increase from expected MAR 12/13 in Nov 2012 model (year end)</t>
  </si>
  <si>
    <t>2012-15</t>
  </si>
  <si>
    <t>Actual financial incentives (intra year)</t>
  </si>
  <si>
    <t>Actual wash up costs (intra year)</t>
  </si>
  <si>
    <t>Delay to reset</t>
  </si>
  <si>
    <t>Inflation indexation</t>
  </si>
  <si>
    <t>Pricing beneath limit</t>
  </si>
  <si>
    <t>Clawback for delay</t>
  </si>
  <si>
    <t>10% cap</t>
  </si>
  <si>
    <t>NPV adjustment for 10% cap</t>
  </si>
  <si>
    <t>Billed quantities (Delta D)</t>
  </si>
  <si>
    <t>Billed quantities (CPRG)</t>
  </si>
  <si>
    <t>Other regulatory income</t>
  </si>
  <si>
    <t>Other revenue effects</t>
  </si>
  <si>
    <t>Revenue equivalent to expected return of 8.77% incl. ORI incl. gains/losses on disposal</t>
  </si>
  <si>
    <t>Actual MAR revenue including actual ORI and actual gains/losses on disposal</t>
  </si>
  <si>
    <t>Impact of NPV adjustment for 10% cap</t>
  </si>
  <si>
    <t>Impact of Delta D error</t>
  </si>
  <si>
    <t>Forecast CPRG factor</t>
  </si>
  <si>
    <t>Discount year</t>
  </si>
  <si>
    <t>actual index - annual</t>
  </si>
  <si>
    <t>forecast index - annual</t>
  </si>
  <si>
    <t>% impact on revenue over 5 years</t>
  </si>
  <si>
    <t>discount rate</t>
  </si>
  <si>
    <t>PV factor</t>
  </si>
  <si>
    <t>PV index - actual</t>
  </si>
  <si>
    <t>PV index - forecast</t>
  </si>
  <si>
    <t>PV indexed revenue - forecast</t>
  </si>
  <si>
    <t>PV indexed revenue - actual</t>
  </si>
  <si>
    <t>Actual pass through costs, recoverable costs, and wash ups (year end)</t>
  </si>
  <si>
    <t>Actual financial incentives (year end)</t>
  </si>
  <si>
    <t>Actual total regulatory income net of PTC&amp;RC, and WU (CP, year end)</t>
  </si>
  <si>
    <t>Impact of financial incentives (e.g. ACOT)</t>
  </si>
  <si>
    <t>Financial incentives</t>
  </si>
  <si>
    <t>Revenue model</t>
  </si>
  <si>
    <t>Constant price revenue growth</t>
  </si>
  <si>
    <t>Difference between reset and no reset</t>
  </si>
  <si>
    <t>Alpine Energy</t>
  </si>
  <si>
    <t>Centralines</t>
  </si>
  <si>
    <t>Horizon Energy</t>
  </si>
  <si>
    <t>Nelson Electricity</t>
  </si>
  <si>
    <t>Network Tasman</t>
  </si>
  <si>
    <t>Orion NZ</t>
  </si>
  <si>
    <t>OtagoNet</t>
  </si>
  <si>
    <t>Powerco</t>
  </si>
  <si>
    <t>Top Energy</t>
  </si>
  <si>
    <t>Wellington Electricity</t>
  </si>
  <si>
    <t>PQR compliance database.</t>
  </si>
  <si>
    <t>2012 DPP reset determination</t>
  </si>
  <si>
    <t>2012 DPP financial model</t>
  </si>
  <si>
    <t>Statistics NZ</t>
  </si>
  <si>
    <t>Information disclosure</t>
  </si>
  <si>
    <t>2015 DPP reset determination</t>
  </si>
  <si>
    <t>Reset v.s. no reset - timing adjusted</t>
  </si>
  <si>
    <t>Waterfall results - timing adjusted (revenue date)</t>
  </si>
  <si>
    <t>Revenue sequence</t>
  </si>
  <si>
    <t>PV impact of reset on achievable revenue</t>
  </si>
  <si>
    <t>Difference in achievable revenue</t>
  </si>
  <si>
    <t>EDB</t>
  </si>
  <si>
    <t>Charts</t>
  </si>
  <si>
    <t>Impact on revenue (IRR model inputs)</t>
  </si>
  <si>
    <t>Actual pass through and recoverable costs 13/14</t>
  </si>
  <si>
    <t>IM clawback (year end)</t>
  </si>
  <si>
    <t>Unison Networks</t>
  </si>
  <si>
    <t>Eastland Network</t>
  </si>
  <si>
    <t>Vector Lines</t>
  </si>
  <si>
    <t>Other outputs</t>
  </si>
  <si>
    <t>Difference between ANR and NR</t>
  </si>
  <si>
    <t>Difference between forecast and actual ORI</t>
  </si>
  <si>
    <t>Difference between forecast and actual ORI (2012/13 - 2014/15)</t>
  </si>
  <si>
    <t>Difference between ANR and NR (2012/13 - 2014/15)</t>
  </si>
  <si>
    <t>Discount factor</t>
  </si>
  <si>
    <t>ANR (year end)</t>
  </si>
  <si>
    <t>NR (year end)</t>
  </si>
  <si>
    <t>ANR v.s.NR</t>
  </si>
  <si>
    <t>The model is a data source for the IRR model input sheet</t>
  </si>
  <si>
    <t>Scenario Number</t>
  </si>
  <si>
    <t>Name</t>
  </si>
  <si>
    <t>Short description</t>
  </si>
  <si>
    <t>Revenue lost or gained as a result of a delay to the reset</t>
  </si>
  <si>
    <t>Revenue recovered as a result of financial incentives, namely avoided cost of transmission on spur asset purchases</t>
  </si>
  <si>
    <t>Deviation as a result of our assumptions of other regulated income and gains and losses on asset disposals</t>
  </si>
  <si>
    <t>Further revenue effects</t>
  </si>
  <si>
    <t>The residual that is not explained by the factors above</t>
  </si>
  <si>
    <t>Change in constant price revenue for the period 1 April 2011 to 31 March 2013 (ΔD), as specified in schedule 1C, table 4  of the 2012 EDB DPP reset determination</t>
  </si>
  <si>
    <t>Change in constant price revenue for the periods 1 April 2013 to 31 March 2014 and 1 April 2014 to 31 March 2015</t>
  </si>
  <si>
    <t>To reset EDB price paths for 1 April 2012 – 31 March 2015, the Commission in November 2012 targeted a nominal internal rate of return of 8.77% p.a. for each distributor, where 8.77% p.a. is the 75th percentile of vanilla WACC for the first DPP regulatory period (commencing April 2010) based on the risk-free rate and debt premium as at 1 September 2009.</t>
  </si>
  <si>
    <r>
      <t>Change in the CPI (eg, ΔCPI</t>
    </r>
    <r>
      <rPr>
        <vertAlign val="subscript"/>
        <sz val="9"/>
        <color theme="1"/>
        <rFont val="Calibri"/>
        <family val="2"/>
      </rPr>
      <t>2013/14</t>
    </r>
    <r>
      <rPr>
        <sz val="11"/>
        <color theme="1"/>
        <rFont val="Calibri"/>
        <family val="2"/>
        <scheme val="minor"/>
      </rPr>
      <t xml:space="preserve"> , as specified in schedule 1C table 3 of the 2012 EDB DPP reset determination)</t>
    </r>
  </si>
  <si>
    <t>Future compensation for the 10% cap for EDBs specified in schedule 5D of the 2014 EDB DPP reset determination</t>
  </si>
  <si>
    <t>Compensation for the delay to the reset, including future compensation for EDBs specified in schedule 5C of the 2014 EDB DPP reset determination</t>
  </si>
  <si>
    <t>Revenue not recovered as a result of a limit to price increases for EDBs specified in schedule 1C table 3 of the 2012 EDB DPP reset determination</t>
  </si>
  <si>
    <t>Distributors may choose to recover less revenue than allowed under the DPP, as described in clause 8.4 of the 2012 DPP reset determination</t>
  </si>
  <si>
    <t>With reset</t>
  </si>
  <si>
    <t>Without reset</t>
  </si>
  <si>
    <t>Operating instructions</t>
  </si>
  <si>
    <t>To view the calculations for an individual EDB, use the dropdown box in cell B6 of the 'Selection' worksheet to select the EDB's name.</t>
  </si>
  <si>
    <t>This model estimates from DPP-regulated EDB observed revenues the effect on DPP-regulated EDB revenue of the following decisions or forecasts:</t>
  </si>
  <si>
    <t>The output table, located in the 'Outputs' worksheet, shows the calculated results for all EDBs. This table uses Excel's Data Table facility. If Excel's calculation options  are not set to automatically recalculate tables, a manual recalculation of the table can be triggered by entering {Cntrl} {Alt} {Shift} {F9}.</t>
  </si>
  <si>
    <t>Forecast line charge revenue net of PTC&amp;RC and consistent with 8.77% return (CP, year end) - updated for actual ORI</t>
  </si>
  <si>
    <t>Gains and losses on asset disposals</t>
  </si>
  <si>
    <t>Gains and losses on disposals</t>
  </si>
  <si>
    <t>Impact of error in forecasting ORI</t>
  </si>
  <si>
    <t>Impact of gains and losses on disposals</t>
  </si>
  <si>
    <t>Reset v No reset</t>
  </si>
  <si>
    <t>PV as at 1 April 2015 (2-years)</t>
  </si>
  <si>
    <t>2011-15</t>
  </si>
  <si>
    <t>5 year CPRG—impact on revenue</t>
  </si>
  <si>
    <t>Total regulatory income</t>
  </si>
  <si>
    <t>Version 1.  8 June 2016</t>
  </si>
  <si>
    <t>Selection</t>
  </si>
  <si>
    <t>Achievable revenue with reset. It reflects disclosed revenues adjusted upwards to remove the effect of EDBs pricing beneath the allowable revenue limit.</t>
  </si>
  <si>
    <t>Achievable revenue without reset. It reflects disclosed revenues up to and including 2012/13 adjusted upwards to remove the effect of EDBs pricing beneath the allowable revenue limit, and prices in subsequent years increasing only with actual CPI, observed CPRG, and rate of change X = 0.</t>
  </si>
  <si>
    <t>To data table</t>
  </si>
  <si>
    <t>From data table</t>
  </si>
  <si>
    <t>Reduction in revenue caused by CPI forecast error occurring in final year of period</t>
  </si>
  <si>
    <t>Capped increase from achievable 12/13 using same forecast as Nov 2012 model (year end)</t>
  </si>
  <si>
    <t>Reset vs. no reset</t>
  </si>
  <si>
    <t>5 year CPRG</t>
  </si>
  <si>
    <t>Changes in demand (delta D)</t>
  </si>
  <si>
    <t>Changes in demand (CPRG)</t>
  </si>
  <si>
    <t>Inflation indexation of revenue limit (CPI–X%)</t>
  </si>
  <si>
    <t>Payments for avoided costs of transmission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</si>
</sst>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2" formatCode="_-&quot;$&quot;* #,##0_-;\-&quot;$&quot;* #,##0_-;_-&quot;$&quot;* &quot;-&quot;_-;_-@_-"/>
    <numFmt numFmtId="44" formatCode="_-&quot;$&quot;* #,##0.00_-;\-&quot;$&quot;* #,##0.00_-;_-&quot;$&quot;* &quot;-&quot;??_-;_-@_-"/>
    <numFmt numFmtId="43" formatCode="_-* #,##0.00_-;\-* #,##0.00_-;_-* &quot;-&quot;??_-;_-@_-"/>
    <numFmt numFmtId="164" formatCode="_(* #,##0_);_(* \(#,##0\);_(* &quot;-&quot;_);_(@_)"/>
    <numFmt numFmtId="165" formatCode="_(* #,##0.00_);_(* \(#,##0.00\);_(* &quot;-&quot;??_);_(@_)"/>
    <numFmt numFmtId="166" formatCode="_(@_)"/>
    <numFmt numFmtId="167" formatCode="_(* #,##0.0_);_(* \(#,##0.0\);_(* &quot;–&quot;???_);_(* @_)"/>
    <numFmt numFmtId="168" formatCode="_(* #,##0.00_);_(* \(#,##0.00\);_(* &quot;–&quot;???_);_(* @_)"/>
    <numFmt numFmtId="169" formatCode="_(* #,##0.0000_);_(* \(#,##0.0000\);_(* &quot;–&quot;??_);_(* @_)"/>
    <numFmt numFmtId="170" formatCode="[$-1409]d\ mmm\ yy;@"/>
    <numFmt numFmtId="171" formatCode="_(* #,##0%_);_(* \(#,##0%\);_(* &quot;–&quot;???_);_(* @_)"/>
    <numFmt numFmtId="172" formatCode="_(* #,##0.0%_);_(* \(#,##0.0%\);_(* &quot;–&quot;??_);_(* @_)"/>
    <numFmt numFmtId="173" formatCode="_(* #,##0.00%_);_(* \(#,##0.00%\);_(* &quot;–&quot;???_);_(* @_)"/>
    <numFmt numFmtId="174" formatCode="_(* #,##0.000%_);_(* \(#,##0.000%\);_(* &quot;–&quot;???_);_(* @_)"/>
    <numFmt numFmtId="175" formatCode="_(* #,##0%_);_(* \(#,##0%\);_(* &quot;–&quot;??_);_(* @_)"/>
    <numFmt numFmtId="176" formatCode="_(* #,##0_);_(* \(#,##0\);_(* &quot;–&quot;???_);_(* @_)"/>
    <numFmt numFmtId="177" formatCode="0.00%;\-0.00%;\-"/>
    <numFmt numFmtId="178" formatCode="0;\-0;\-"/>
    <numFmt numFmtId="179" formatCode="0.00;\-0.00;\-"/>
    <numFmt numFmtId="180" formatCode="_(* 0_);_(* \(0\);_(* 0_);_(@_)"/>
    <numFmt numFmtId="181" formatCode="[$-1409]d\ mmm;@"/>
    <numFmt numFmtId="182" formatCode="_(* #,##0_);_(* \(#,##0\);_(* &quot;-&quot;??_);_(@_)"/>
    <numFmt numFmtId="183" formatCode="_(* #,##0.000_);_(* \(#,##0.000\);_(* &quot;-&quot;??_);_(@_)"/>
    <numFmt numFmtId="184" formatCode="_(* #,##0.0000_);_(* \(#,##0.0000\);_(* &quot;-&quot;??_);_(@_)"/>
    <numFmt numFmtId="185" formatCode="_(* #,##0.000_);_(* \(#,##0.000\);_(* &quot;–&quot;???_);_(* @_)"/>
    <numFmt numFmtId="186" formatCode="_(* #,##0.000_);_(* \(#,##0.000\);_(* &quot;–&quot;??_);_(* @_)"/>
    <numFmt numFmtId="187" formatCode="0.00000"/>
    <numFmt numFmtId="188" formatCode="0.0%"/>
    <numFmt numFmtId="189" formatCode="_(* #,##0.0000_);_(* \(#,##0.0000\);_(* &quot;–&quot;???_);_(* @_)"/>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theme="1"/>
      <name val="Calibri"/>
      <family val="2"/>
      <scheme val="minor"/>
    </font>
    <font>
      <b/>
      <sz val="10"/>
      <color theme="1"/>
      <name val="Cambria"/>
      <family val="1"/>
      <scheme val="major"/>
    </font>
    <font>
      <sz val="11"/>
      <name val="Calibri"/>
      <family val="2"/>
      <scheme val="minor"/>
    </font>
    <font>
      <b/>
      <sz val="18"/>
      <name val="Calibri"/>
      <family val="2"/>
      <scheme val="minor"/>
    </font>
    <font>
      <b/>
      <sz val="16"/>
      <name val="Calibri"/>
      <family val="2"/>
      <scheme val="minor"/>
    </font>
    <font>
      <b/>
      <sz val="14"/>
      <name val="Calibri"/>
      <family val="2"/>
      <scheme val="minor"/>
    </font>
    <font>
      <u/>
      <sz val="10"/>
      <color theme="10"/>
      <name val="Arial"/>
      <family val="2"/>
    </font>
    <font>
      <sz val="11"/>
      <color theme="2"/>
      <name val="Calibri"/>
      <family val="2"/>
      <scheme val="minor"/>
    </font>
    <font>
      <b/>
      <sz val="10"/>
      <name val="Calibri"/>
      <family val="4"/>
      <scheme val="minor"/>
    </font>
    <font>
      <sz val="11"/>
      <color theme="9"/>
      <name val="Calibri"/>
      <family val="2"/>
      <scheme val="minor"/>
    </font>
    <font>
      <b/>
      <sz val="20"/>
      <color theme="2"/>
      <name val="Calibri"/>
      <family val="2"/>
      <scheme val="minor"/>
    </font>
    <font>
      <b/>
      <sz val="12"/>
      <color theme="1"/>
      <name val="Calibri"/>
      <family val="2"/>
      <scheme val="minor"/>
    </font>
    <font>
      <b/>
      <sz val="18"/>
      <color theme="2"/>
      <name val="Cambria"/>
      <family val="1"/>
      <scheme val="major"/>
    </font>
    <font>
      <sz val="11"/>
      <name val="Calibri"/>
      <family val="2"/>
    </font>
    <font>
      <sz val="11"/>
      <color theme="1"/>
      <name val="Calibri"/>
      <family val="2"/>
    </font>
    <font>
      <i/>
      <sz val="10"/>
      <name val="Calibri"/>
      <family val="4"/>
      <scheme val="minor"/>
    </font>
    <font>
      <sz val="12"/>
      <color theme="1"/>
      <name val="Calibri"/>
      <family val="2"/>
      <scheme val="minor"/>
    </font>
    <font>
      <sz val="12"/>
      <color theme="0" tint="-0.499984740745262"/>
      <name val="Calibri"/>
      <family val="2"/>
      <scheme val="minor"/>
    </font>
    <font>
      <u/>
      <sz val="11"/>
      <color theme="11"/>
      <name val="Calibri"/>
      <family val="2"/>
      <scheme val="minor"/>
    </font>
    <font>
      <sz val="9"/>
      <color indexed="81"/>
      <name val="Tahoma"/>
      <family val="2"/>
    </font>
    <font>
      <b/>
      <sz val="9"/>
      <color indexed="81"/>
      <name val="Tahoma"/>
      <family val="2"/>
    </font>
    <font>
      <b/>
      <sz val="18"/>
      <color indexed="8"/>
      <name val="Calibri"/>
      <family val="2"/>
      <scheme val="minor"/>
    </font>
    <font>
      <b/>
      <sz val="10"/>
      <color theme="1"/>
      <name val="Calibri"/>
      <family val="2"/>
      <scheme val="minor"/>
    </font>
    <font>
      <b/>
      <u/>
      <sz val="10"/>
      <name val="Calibri"/>
      <family val="4"/>
      <scheme val="minor"/>
    </font>
    <font>
      <b/>
      <sz val="11"/>
      <color rgb="FFFF0000"/>
      <name val="Calibri"/>
      <family val="2"/>
      <scheme val="minor"/>
    </font>
    <font>
      <vertAlign val="subscript"/>
      <sz val="9"/>
      <color theme="1"/>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3"/>
        <bgColor indexed="64"/>
      </patternFill>
    </fill>
    <fill>
      <patternFill patternType="solid">
        <fgColor theme="4"/>
        <bgColor indexed="64"/>
      </patternFill>
    </fill>
    <fill>
      <patternFill patternType="solid">
        <fgColor theme="6"/>
        <bgColor indexed="64"/>
      </patternFill>
    </fill>
    <fill>
      <patternFill patternType="solid">
        <fgColor theme="3"/>
        <bgColor indexed="64"/>
      </patternFill>
    </fill>
    <fill>
      <patternFill patternType="solid">
        <fgColor theme="2" tint="0.79998168889431442"/>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n">
        <color theme="7"/>
      </top>
      <bottom style="thin">
        <color theme="7"/>
      </bottom>
      <diagonal/>
    </border>
    <border>
      <left/>
      <right style="thin">
        <color theme="7"/>
      </right>
      <top style="thin">
        <color theme="7"/>
      </top>
      <bottom style="thin">
        <color theme="7"/>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style="thin">
        <color auto="1"/>
      </top>
      <bottom/>
      <diagonal/>
    </border>
    <border>
      <left/>
      <right style="medium">
        <color indexed="8"/>
      </right>
      <top style="thin">
        <color auto="1"/>
      </top>
      <bottom/>
      <diagonal/>
    </border>
    <border>
      <left style="medium">
        <color indexed="8"/>
      </left>
      <right/>
      <top style="thin">
        <color auto="1"/>
      </top>
      <bottom style="medium">
        <color indexed="8"/>
      </bottom>
      <diagonal/>
    </border>
    <border>
      <left/>
      <right style="medium">
        <color indexed="8"/>
      </right>
      <top style="thin">
        <color auto="1"/>
      </top>
      <bottom style="medium">
        <color indexed="8"/>
      </bottom>
      <diagonal/>
    </border>
    <border>
      <left/>
      <right/>
      <top style="thin">
        <color theme="7"/>
      </top>
      <bottom/>
      <diagonal/>
    </border>
    <border>
      <left/>
      <right/>
      <top/>
      <bottom style="thin">
        <color theme="7"/>
      </bottom>
      <diagonal/>
    </border>
    <border>
      <left style="medium">
        <color indexed="8"/>
      </left>
      <right/>
      <top/>
      <bottom/>
      <diagonal/>
    </border>
    <border>
      <left/>
      <right style="medium">
        <color indexed="8"/>
      </right>
      <top/>
      <bottom/>
      <diagonal/>
    </border>
    <border>
      <left/>
      <right/>
      <top style="thin">
        <color auto="1"/>
      </top>
      <bottom style="thin">
        <color auto="1"/>
      </bottom>
      <diagonal/>
    </border>
    <border>
      <left/>
      <right/>
      <top/>
      <bottom style="hair">
        <color auto="1"/>
      </bottom>
      <diagonal/>
    </border>
    <border>
      <left/>
      <right/>
      <top style="hair">
        <color auto="1"/>
      </top>
      <bottom style="thin">
        <color indexed="64"/>
      </bottom>
      <diagonal/>
    </border>
  </borders>
  <cellStyleXfs count="66">
    <xf numFmtId="0" fontId="0" fillId="0" borderId="0"/>
    <xf numFmtId="43" fontId="1" fillId="0" borderId="0" applyFont="0" applyFill="0" applyBorder="0" applyAlignment="0" applyProtection="0"/>
    <xf numFmtId="176" fontId="14"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9" fontId="22" fillId="0" borderId="0" applyFill="0" applyAlignment="0"/>
    <xf numFmtId="49" fontId="15" fillId="0" borderId="0" applyFill="0" applyAlignment="0"/>
    <xf numFmtId="49" fontId="16" fillId="0" borderId="0" applyFill="0" applyAlignment="0"/>
    <xf numFmtId="49" fontId="17" fillId="33" borderId="0" applyFill="0" applyBorder="0">
      <alignment horizontal="left"/>
    </xf>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19" fillId="34" borderId="14" applyNumberFormat="0" applyFill="0" applyAlignment="0">
      <protection locked="0"/>
    </xf>
    <xf numFmtId="0" fontId="1" fillId="36" borderId="14" applyNumberFormat="0" applyFill="0" applyAlignment="0"/>
    <xf numFmtId="0" fontId="7" fillId="5" borderId="1" applyNumberFormat="0" applyAlignment="0" applyProtection="0"/>
    <xf numFmtId="0" fontId="8" fillId="0" borderId="2" applyNumberFormat="0" applyFill="0" applyAlignment="0" applyProtection="0"/>
    <xf numFmtId="0" fontId="9" fillId="6" borderId="3" applyNumberFormat="0" applyAlignment="0" applyProtection="0"/>
    <xf numFmtId="0" fontId="10" fillId="0" borderId="0" applyNumberFormat="0" applyFill="0" applyBorder="0" applyAlignment="0" applyProtection="0"/>
    <xf numFmtId="0" fontId="1" fillId="7" borderId="4" applyNumberFormat="0" applyFont="0" applyAlignment="0" applyProtection="0"/>
    <xf numFmtId="49" fontId="27" fillId="0" borderId="0" applyFill="0" applyProtection="0">
      <alignment horizontal="left" indent="1"/>
    </xf>
    <xf numFmtId="0" fontId="2" fillId="0" borderId="5" applyNumberFormat="0" applyFill="0" applyAlignment="0" applyProtection="0"/>
    <xf numFmtId="0" fontId="1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1" fillId="31" borderId="0" applyNumberFormat="0" applyBorder="0" applyAlignment="0" applyProtection="0"/>
    <xf numFmtId="180" fontId="25" fillId="0" borderId="0" applyFont="0" applyFill="0" applyBorder="0" applyAlignment="0" applyProtection="0">
      <alignment horizontal="left"/>
      <protection locked="0"/>
    </xf>
    <xf numFmtId="167" fontId="25" fillId="0" borderId="0" applyFont="0" applyFill="0" applyBorder="0" applyAlignment="0" applyProtection="0">
      <protection locked="0"/>
    </xf>
    <xf numFmtId="168" fontId="25" fillId="0" borderId="0" applyFont="0" applyFill="0" applyBorder="0" applyAlignment="0" applyProtection="0">
      <protection locked="0"/>
    </xf>
    <xf numFmtId="169" fontId="25" fillId="0" borderId="0" applyFont="0" applyFill="0" applyBorder="0" applyAlignment="0" applyProtection="0"/>
    <xf numFmtId="170" fontId="25" fillId="0" borderId="0" applyFont="0" applyFill="0" applyBorder="0" applyAlignment="0" applyProtection="0">
      <alignment wrapText="1"/>
    </xf>
    <xf numFmtId="175" fontId="1" fillId="0" borderId="0" applyFont="0" applyFill="0" applyBorder="0" applyAlignment="0" applyProtection="0"/>
    <xf numFmtId="0" fontId="20" fillId="35" borderId="14" applyNumberFormat="0" applyFill="0">
      <alignment horizontal="centerContinuous" wrapText="1"/>
    </xf>
    <xf numFmtId="173" fontId="25" fillId="0" borderId="0" applyFont="0" applyFill="0" applyBorder="0" applyAlignment="0" applyProtection="0">
      <protection locked="0"/>
    </xf>
    <xf numFmtId="174" fontId="14" fillId="32" borderId="0" applyFont="0" applyBorder="0"/>
    <xf numFmtId="164" fontId="1" fillId="36" borderId="15" applyNumberFormat="0" applyFont="0" applyFill="0" applyAlignment="0" applyProtection="0"/>
    <xf numFmtId="166" fontId="26" fillId="0" borderId="0" applyFont="0" applyFill="0" applyBorder="0" applyAlignment="0" applyProtection="0">
      <alignment horizontal="left"/>
      <protection locked="0"/>
    </xf>
    <xf numFmtId="0" fontId="18" fillId="0" borderId="0" applyNumberFormat="0" applyFill="0" applyBorder="0" applyAlignment="0" applyProtection="0">
      <alignment vertical="top"/>
      <protection locked="0"/>
    </xf>
    <xf numFmtId="9" fontId="1" fillId="0" borderId="0" applyFont="0" applyFill="0" applyBorder="0" applyAlignment="0" applyProtection="0"/>
    <xf numFmtId="171" fontId="21" fillId="34" borderId="14" applyNumberFormat="0" applyFill="0" applyAlignment="0"/>
    <xf numFmtId="165" fontId="28" fillId="0" borderId="0" applyFont="0" applyFill="0" applyBorder="0" applyAlignment="0" applyProtection="0"/>
    <xf numFmtId="172" fontId="14" fillId="0" borderId="0" applyFont="0" applyFill="0" applyBorder="0" applyAlignment="0" applyProtection="0">
      <alignment horizontal="center" vertical="top" wrapText="1"/>
    </xf>
    <xf numFmtId="9" fontId="28" fillId="0" borderId="0" applyFont="0" applyFill="0" applyBorder="0" applyAlignment="0" applyProtection="0"/>
    <xf numFmtId="0" fontId="30" fillId="0" borderId="0" applyNumberFormat="0" applyFill="0" applyBorder="0" applyAlignment="0" applyProtection="0"/>
    <xf numFmtId="166" fontId="27" fillId="0" borderId="0" applyFill="0" applyProtection="0">
      <alignment horizontal="left" indent="1"/>
    </xf>
    <xf numFmtId="186" fontId="25" fillId="0" borderId="0" applyFont="0" applyFill="0" applyBorder="0" applyAlignment="0" applyProtection="0"/>
  </cellStyleXfs>
  <cellXfs count="193">
    <xf numFmtId="0" fontId="0" fillId="0" borderId="0" xfId="0"/>
    <xf numFmtId="0" fontId="0" fillId="0" borderId="0" xfId="0"/>
    <xf numFmtId="0" fontId="0" fillId="0" borderId="0" xfId="0" applyBorder="1"/>
    <xf numFmtId="0" fontId="23" fillId="35" borderId="16" xfId="0" applyFont="1" applyFill="1" applyBorder="1"/>
    <xf numFmtId="0" fontId="23" fillId="35" borderId="17" xfId="0" applyFont="1" applyFill="1" applyBorder="1"/>
    <xf numFmtId="49" fontId="0" fillId="34" borderId="18" xfId="0" applyNumberFormat="1" applyFill="1" applyBorder="1"/>
    <xf numFmtId="0" fontId="18" fillId="34" borderId="19" xfId="57" applyFill="1" applyBorder="1" applyAlignment="1" applyProtection="1"/>
    <xf numFmtId="49" fontId="0" fillId="36" borderId="18" xfId="0" applyNumberFormat="1" applyFill="1" applyBorder="1"/>
    <xf numFmtId="0" fontId="18" fillId="36" borderId="19" xfId="57" applyFill="1" applyBorder="1" applyAlignment="1" applyProtection="1"/>
    <xf numFmtId="49" fontId="15" fillId="0" borderId="0" xfId="6" applyFill="1" applyBorder="1" applyAlignment="1">
      <alignment horizontal="left" indent="1"/>
    </xf>
    <xf numFmtId="0" fontId="0" fillId="0" borderId="0" xfId="0"/>
    <xf numFmtId="0" fontId="0" fillId="0" borderId="0" xfId="0" applyFill="1"/>
    <xf numFmtId="0" fontId="0" fillId="0" borderId="0" xfId="0" applyFill="1" applyAlignment="1">
      <alignment horizontal="right"/>
    </xf>
    <xf numFmtId="0" fontId="29" fillId="0" borderId="0" xfId="0" applyFont="1" applyFill="1"/>
    <xf numFmtId="49" fontId="22" fillId="0" borderId="0" xfId="5"/>
    <xf numFmtId="0" fontId="20" fillId="0" borderId="14" xfId="52" applyFill="1">
      <alignment horizontal="centerContinuous" wrapText="1"/>
    </xf>
    <xf numFmtId="166" fontId="20" fillId="0" borderId="14" xfId="52" applyNumberFormat="1" applyFill="1">
      <alignment horizontal="centerContinuous" wrapText="1"/>
    </xf>
    <xf numFmtId="0" fontId="0" fillId="0" borderId="0" xfId="0"/>
    <xf numFmtId="0" fontId="1" fillId="0" borderId="14" xfId="14" applyFill="1"/>
    <xf numFmtId="0" fontId="19" fillId="0" borderId="14" xfId="13" applyNumberFormat="1" applyFill="1" applyAlignment="1">
      <alignment horizontal="right"/>
      <protection locked="0"/>
    </xf>
    <xf numFmtId="0" fontId="1" fillId="0" borderId="14" xfId="14" applyFill="1" applyAlignment="1">
      <alignment horizontal="right"/>
    </xf>
    <xf numFmtId="177" fontId="1" fillId="0" borderId="14" xfId="14" applyNumberFormat="1" applyFill="1" applyAlignment="1">
      <alignment horizontal="right"/>
    </xf>
    <xf numFmtId="1" fontId="1" fillId="0" borderId="14" xfId="14" applyNumberFormat="1" applyFill="1" applyAlignment="1">
      <alignment horizontal="right"/>
    </xf>
    <xf numFmtId="2" fontId="1" fillId="0" borderId="14" xfId="14" applyNumberFormat="1" applyFill="1" applyAlignment="1">
      <alignment horizontal="right"/>
    </xf>
    <xf numFmtId="178" fontId="1" fillId="0" borderId="14" xfId="14" applyNumberFormat="1" applyFill="1"/>
    <xf numFmtId="179" fontId="1" fillId="0" borderId="14" xfId="14" applyNumberFormat="1" applyFill="1"/>
    <xf numFmtId="176" fontId="1" fillId="0" borderId="14" xfId="14" applyNumberFormat="1" applyFill="1"/>
    <xf numFmtId="176" fontId="1" fillId="0" borderId="14" xfId="2" applyFont="1" applyFill="1" applyBorder="1"/>
    <xf numFmtId="176" fontId="1" fillId="0" borderId="14" xfId="2" applyFont="1" applyFill="1" applyBorder="1" applyAlignment="1">
      <alignment horizontal="right"/>
    </xf>
    <xf numFmtId="173" fontId="1" fillId="0" borderId="14" xfId="53" applyFont="1" applyFill="1" applyBorder="1" applyAlignment="1" applyProtection="1">
      <alignment horizontal="right"/>
    </xf>
    <xf numFmtId="169" fontId="1" fillId="0" borderId="14" xfId="49" applyFont="1" applyFill="1" applyBorder="1" applyAlignment="1">
      <alignment horizontal="right"/>
    </xf>
    <xf numFmtId="168" fontId="1" fillId="0" borderId="14" xfId="48" applyFont="1" applyFill="1" applyBorder="1" applyAlignment="1" applyProtection="1">
      <alignment horizontal="right"/>
    </xf>
    <xf numFmtId="173" fontId="1" fillId="0" borderId="14" xfId="53" applyFont="1" applyFill="1" applyBorder="1" applyProtection="1"/>
    <xf numFmtId="0" fontId="20" fillId="0" borderId="22" xfId="52" applyFill="1" applyBorder="1">
      <alignment horizontal="centerContinuous" wrapText="1"/>
    </xf>
    <xf numFmtId="0" fontId="20" fillId="0" borderId="23" xfId="52" applyFill="1" applyBorder="1">
      <alignment horizontal="centerContinuous" wrapText="1"/>
    </xf>
    <xf numFmtId="0" fontId="20" fillId="0" borderId="22" xfId="52" applyFill="1" applyBorder="1" applyAlignment="1">
      <alignment horizontal="center" wrapText="1"/>
    </xf>
    <xf numFmtId="176" fontId="19" fillId="0" borderId="14" xfId="2" applyFont="1" applyFill="1" applyBorder="1" applyAlignment="1" applyProtection="1">
      <alignment horizontal="right"/>
      <protection locked="0"/>
    </xf>
    <xf numFmtId="173" fontId="19" fillId="0" borderId="14" xfId="53" applyFont="1" applyFill="1" applyBorder="1">
      <protection locked="0"/>
    </xf>
    <xf numFmtId="168" fontId="1" fillId="0" borderId="14" xfId="48" applyFont="1" applyFill="1" applyBorder="1" applyProtection="1"/>
    <xf numFmtId="169" fontId="1" fillId="0" borderId="14" xfId="49" applyFont="1" applyFill="1" applyBorder="1"/>
    <xf numFmtId="169" fontId="1" fillId="0" borderId="14" xfId="49" applyFont="1" applyFill="1" applyBorder="1" applyProtection="1"/>
    <xf numFmtId="0" fontId="1" fillId="0" borderId="14" xfId="14" applyFill="1" applyAlignment="1">
      <alignment horizontal="left" indent="2"/>
    </xf>
    <xf numFmtId="49" fontId="27" fillId="0" borderId="0" xfId="20">
      <alignment horizontal="left" indent="1"/>
    </xf>
    <xf numFmtId="0" fontId="19" fillId="0" borderId="14" xfId="13" applyFill="1" applyAlignment="1">
      <alignment horizontal="left" indent="1"/>
      <protection locked="0"/>
    </xf>
    <xf numFmtId="0" fontId="20" fillId="0" borderId="14" xfId="52" applyFill="1" applyAlignment="1">
      <alignment horizontal="left" wrapText="1" indent="1"/>
    </xf>
    <xf numFmtId="0" fontId="0" fillId="32" borderId="13" xfId="0" applyFill="1" applyBorder="1"/>
    <xf numFmtId="0" fontId="0" fillId="32" borderId="12" xfId="0" applyFill="1" applyBorder="1"/>
    <xf numFmtId="0" fontId="0" fillId="32" borderId="11" xfId="0" applyFill="1" applyBorder="1"/>
    <xf numFmtId="0" fontId="12" fillId="32" borderId="10" xfId="0" applyFont="1" applyFill="1" applyBorder="1"/>
    <xf numFmtId="0" fontId="12" fillId="32" borderId="0" xfId="0" applyFont="1" applyFill="1" applyBorder="1"/>
    <xf numFmtId="0" fontId="12" fillId="32" borderId="9" xfId="0" applyFont="1" applyFill="1" applyBorder="1"/>
    <xf numFmtId="0" fontId="24" fillId="32" borderId="10" xfId="0" applyFont="1" applyFill="1" applyBorder="1" applyAlignment="1">
      <alignment horizontal="centerContinuous"/>
    </xf>
    <xf numFmtId="0" fontId="12" fillId="32" borderId="0" xfId="0" applyFont="1" applyFill="1" applyBorder="1" applyAlignment="1">
      <alignment horizontal="centerContinuous"/>
    </xf>
    <xf numFmtId="0" fontId="12" fillId="32" borderId="9" xfId="0" applyFont="1" applyFill="1" applyBorder="1" applyAlignment="1">
      <alignment horizontal="centerContinuous"/>
    </xf>
    <xf numFmtId="0" fontId="0" fillId="32" borderId="0" xfId="0" applyFill="1" applyBorder="1"/>
    <xf numFmtId="0" fontId="12" fillId="32" borderId="9" xfId="0" applyFont="1" applyFill="1" applyBorder="1" applyAlignment="1"/>
    <xf numFmtId="0" fontId="13" fillId="32" borderId="10" xfId="0" applyFont="1" applyFill="1" applyBorder="1" applyAlignment="1">
      <alignment horizontal="centerContinuous"/>
    </xf>
    <xf numFmtId="0" fontId="12" fillId="32" borderId="8" xfId="0" applyFont="1" applyFill="1" applyBorder="1"/>
    <xf numFmtId="0" fontId="12" fillId="32" borderId="7" xfId="0" applyFont="1" applyFill="1" applyBorder="1"/>
    <xf numFmtId="0" fontId="12" fillId="32" borderId="6" xfId="0" applyFont="1" applyFill="1" applyBorder="1"/>
    <xf numFmtId="0" fontId="20" fillId="0" borderId="22" xfId="52" applyFill="1" applyBorder="1" applyAlignment="1">
      <alignment horizontal="left" wrapText="1" indent="1"/>
    </xf>
    <xf numFmtId="173" fontId="1" fillId="0" borderId="14" xfId="14" applyNumberFormat="1" applyFill="1" applyAlignment="1">
      <alignment horizontal="right"/>
    </xf>
    <xf numFmtId="176" fontId="1" fillId="0" borderId="14" xfId="14" applyNumberFormat="1" applyFill="1" applyAlignment="1">
      <alignment horizontal="right"/>
    </xf>
    <xf numFmtId="181" fontId="1" fillId="0" borderId="14" xfId="14" applyNumberFormat="1" applyFill="1" applyAlignment="1">
      <alignment horizontal="right"/>
    </xf>
    <xf numFmtId="169" fontId="1" fillId="0" borderId="14" xfId="14" applyNumberFormat="1" applyFill="1" applyAlignment="1">
      <alignment horizontal="right"/>
    </xf>
    <xf numFmtId="49" fontId="27" fillId="0" borderId="0" xfId="20" applyFill="1" applyBorder="1" applyAlignment="1">
      <alignment horizontal="left" wrapText="1" indent="1"/>
    </xf>
    <xf numFmtId="0" fontId="20" fillId="0" borderId="23" xfId="52" applyFill="1" applyBorder="1" applyAlignment="1">
      <alignment horizontal="center" wrapText="1"/>
    </xf>
    <xf numFmtId="49" fontId="27" fillId="0" borderId="14" xfId="20" applyFill="1" applyBorder="1" applyAlignment="1">
      <alignment horizontal="left" indent="1"/>
    </xf>
    <xf numFmtId="49" fontId="27" fillId="0" borderId="14" xfId="20" applyNumberFormat="1" applyFill="1" applyBorder="1" applyAlignment="1">
      <alignment horizontal="left" indent="1"/>
    </xf>
    <xf numFmtId="49" fontId="0" fillId="34" borderId="24" xfId="0" applyNumberFormat="1" applyFill="1" applyBorder="1"/>
    <xf numFmtId="0" fontId="0" fillId="37" borderId="0" xfId="0" applyFill="1"/>
    <xf numFmtId="0" fontId="1" fillId="0" borderId="14" xfId="14" applyFill="1" applyAlignment="1">
      <alignment horizontal="left" indent="1"/>
    </xf>
    <xf numFmtId="0" fontId="0" fillId="0" borderId="14" xfId="14" applyFont="1" applyFill="1" applyAlignment="1">
      <alignment horizontal="left" indent="1"/>
    </xf>
    <xf numFmtId="0" fontId="0" fillId="0" borderId="0" xfId="14" applyFont="1" applyFill="1" applyBorder="1" applyAlignment="1">
      <alignment horizontal="left" indent="1"/>
    </xf>
    <xf numFmtId="182" fontId="1" fillId="0" borderId="14" xfId="14" applyNumberFormat="1" applyFill="1"/>
    <xf numFmtId="183" fontId="1" fillId="0" borderId="14" xfId="14" applyNumberFormat="1" applyFill="1"/>
    <xf numFmtId="184" fontId="1" fillId="0" borderId="14" xfId="14" applyNumberFormat="1" applyFill="1"/>
    <xf numFmtId="165" fontId="1" fillId="0" borderId="14" xfId="14" applyNumberFormat="1" applyFill="1"/>
    <xf numFmtId="182" fontId="0" fillId="0" borderId="14" xfId="14" applyNumberFormat="1" applyFont="1" applyFill="1"/>
    <xf numFmtId="182" fontId="0" fillId="0" borderId="14" xfId="14" applyNumberFormat="1" applyFont="1" applyFill="1" applyAlignment="1">
      <alignment horizontal="right"/>
    </xf>
    <xf numFmtId="10" fontId="1" fillId="0" borderId="14" xfId="62" applyNumberFormat="1" applyFont="1" applyFill="1" applyBorder="1"/>
    <xf numFmtId="0" fontId="0" fillId="0" borderId="14" xfId="14" applyFont="1" applyFill="1" applyAlignment="1">
      <alignment horizontal="left" indent="2"/>
    </xf>
    <xf numFmtId="49" fontId="16" fillId="0" borderId="0" xfId="7"/>
    <xf numFmtId="0" fontId="12" fillId="0" borderId="26" xfId="0" applyFont="1" applyBorder="1"/>
    <xf numFmtId="0" fontId="34" fillId="0" borderId="26" xfId="0" applyFont="1" applyBorder="1" applyAlignment="1">
      <alignment horizontal="right" wrapText="1"/>
    </xf>
    <xf numFmtId="0" fontId="12" fillId="0" borderId="0" xfId="0" applyFont="1"/>
    <xf numFmtId="173" fontId="12" fillId="0" borderId="0" xfId="53" applyFont="1" applyAlignment="1" applyProtection="1"/>
    <xf numFmtId="0" fontId="12" fillId="0" borderId="27" xfId="0" applyFont="1" applyBorder="1"/>
    <xf numFmtId="173" fontId="12" fillId="0" borderId="27" xfId="53" applyFont="1" applyBorder="1" applyAlignment="1" applyProtection="1"/>
    <xf numFmtId="49" fontId="22" fillId="0" borderId="0" xfId="5" applyFill="1" applyAlignment="1">
      <alignment vertical="center"/>
    </xf>
    <xf numFmtId="0" fontId="35" fillId="0" borderId="14" xfId="52" applyFont="1" applyFill="1" applyAlignment="1">
      <alignment horizontal="left" wrapText="1" indent="2"/>
    </xf>
    <xf numFmtId="186" fontId="1" fillId="0" borderId="14" xfId="65" applyFont="1" applyFill="1" applyBorder="1"/>
    <xf numFmtId="176" fontId="1" fillId="0" borderId="15" xfId="55" applyNumberFormat="1" applyFont="1" applyFill="1"/>
    <xf numFmtId="49" fontId="22" fillId="0" borderId="0" xfId="5" applyAlignment="1">
      <alignment vertical="center"/>
    </xf>
    <xf numFmtId="176" fontId="19" fillId="0" borderId="14" xfId="13" applyNumberFormat="1" applyFill="1" applyAlignment="1">
      <alignment horizontal="centerContinuous" wrapText="1"/>
      <protection locked="0"/>
    </xf>
    <xf numFmtId="176" fontId="19" fillId="0" borderId="14" xfId="13" applyNumberFormat="1" applyFill="1">
      <protection locked="0"/>
    </xf>
    <xf numFmtId="180" fontId="19" fillId="0" borderId="14" xfId="13" applyNumberFormat="1" applyFill="1" applyAlignment="1">
      <alignment horizontal="right"/>
      <protection locked="0"/>
    </xf>
    <xf numFmtId="176" fontId="19" fillId="0" borderId="14" xfId="13" applyNumberFormat="1" applyFill="1" applyAlignment="1">
      <alignment horizontal="right"/>
      <protection locked="0"/>
    </xf>
    <xf numFmtId="169" fontId="19" fillId="0" borderId="14" xfId="13" applyNumberFormat="1" applyFill="1" applyAlignment="1">
      <alignment horizontal="right"/>
      <protection locked="0"/>
    </xf>
    <xf numFmtId="173" fontId="19" fillId="0" borderId="14" xfId="13" applyNumberFormat="1" applyFill="1" applyAlignment="1">
      <alignment horizontal="right"/>
      <protection locked="0"/>
    </xf>
    <xf numFmtId="173" fontId="19" fillId="0" borderId="14" xfId="13" applyNumberFormat="1" applyFill="1">
      <protection locked="0"/>
    </xf>
    <xf numFmtId="181" fontId="19" fillId="0" borderId="14" xfId="13" applyNumberFormat="1" applyFill="1" applyAlignment="1">
      <alignment horizontal="right"/>
      <protection locked="0"/>
    </xf>
    <xf numFmtId="176" fontId="21" fillId="0" borderId="14" xfId="59" applyNumberFormat="1" applyFill="1"/>
    <xf numFmtId="176" fontId="21" fillId="0" borderId="14" xfId="59" applyNumberFormat="1" applyFill="1" applyAlignment="1">
      <alignment horizontal="right"/>
    </xf>
    <xf numFmtId="168" fontId="21" fillId="0" borderId="14" xfId="59" applyNumberFormat="1" applyFill="1" applyAlignment="1">
      <alignment horizontal="right"/>
    </xf>
    <xf numFmtId="168" fontId="21" fillId="0" borderId="14" xfId="59" applyNumberFormat="1" applyFill="1"/>
    <xf numFmtId="180" fontId="21" fillId="0" borderId="14" xfId="59" applyNumberFormat="1" applyFill="1" applyAlignment="1"/>
    <xf numFmtId="181" fontId="21" fillId="0" borderId="14" xfId="59" applyNumberFormat="1" applyFill="1" applyAlignment="1"/>
    <xf numFmtId="0" fontId="21" fillId="0" borderId="14" xfId="59" applyNumberFormat="1" applyFill="1"/>
    <xf numFmtId="173" fontId="21" fillId="0" borderId="14" xfId="59" applyNumberFormat="1" applyFill="1"/>
    <xf numFmtId="173" fontId="21" fillId="0" borderId="14" xfId="59" applyNumberFormat="1" applyFill="1" applyAlignment="1">
      <alignment horizontal="right"/>
    </xf>
    <xf numFmtId="185" fontId="21" fillId="0" borderId="14" xfId="59" applyNumberFormat="1" applyFill="1"/>
    <xf numFmtId="173" fontId="19" fillId="0" borderId="14" xfId="53" applyFont="1" applyFill="1" applyBorder="1" applyAlignment="1">
      <alignment horizontal="right"/>
      <protection locked="0"/>
    </xf>
    <xf numFmtId="176" fontId="1" fillId="0" borderId="14" xfId="2" applyFont="1" applyFill="1" applyBorder="1" applyProtection="1">
      <protection locked="0"/>
    </xf>
    <xf numFmtId="3" fontId="19" fillId="0" borderId="14" xfId="13" applyNumberFormat="1" applyFill="1">
      <protection locked="0"/>
    </xf>
    <xf numFmtId="185" fontId="19" fillId="0" borderId="14" xfId="13" applyNumberFormat="1" applyFill="1">
      <protection locked="0"/>
    </xf>
    <xf numFmtId="0" fontId="33" fillId="0" borderId="0" xfId="0" applyFont="1" applyFill="1"/>
    <xf numFmtId="173" fontId="21" fillId="0" borderId="14" xfId="53" applyFont="1" applyFill="1" applyBorder="1" applyProtection="1"/>
    <xf numFmtId="180" fontId="21" fillId="0" borderId="14" xfId="59" applyNumberFormat="1" applyFill="1" applyAlignment="1">
      <alignment horizontal="right"/>
    </xf>
    <xf numFmtId="178" fontId="21" fillId="0" borderId="14" xfId="59" applyNumberFormat="1" applyFill="1" applyAlignment="1">
      <alignment horizontal="right"/>
    </xf>
    <xf numFmtId="177" fontId="21" fillId="0" borderId="14" xfId="59" applyNumberFormat="1" applyFill="1"/>
    <xf numFmtId="0" fontId="21" fillId="0" borderId="14" xfId="59" applyNumberFormat="1" applyFill="1" applyAlignment="1">
      <alignment horizontal="centerContinuous" wrapText="1"/>
    </xf>
    <xf numFmtId="49" fontId="22" fillId="0" borderId="0" xfId="5" applyBorder="1" applyAlignment="1">
      <alignment vertical="center"/>
    </xf>
    <xf numFmtId="10" fontId="21" fillId="0" borderId="14" xfId="62" applyNumberFormat="1" applyFont="1" applyFill="1" applyBorder="1" applyAlignment="1">
      <alignment horizontal="right"/>
    </xf>
    <xf numFmtId="49" fontId="27" fillId="0" borderId="0" xfId="20" quotePrefix="1" applyFill="1" applyProtection="1">
      <alignment horizontal="left" indent="1"/>
    </xf>
    <xf numFmtId="0" fontId="0" fillId="0" borderId="0" xfId="0" quotePrefix="1" applyFill="1" applyAlignment="1" applyProtection="1">
      <alignment horizontal="left" vertical="top"/>
    </xf>
    <xf numFmtId="0" fontId="23" fillId="0" borderId="0" xfId="0" applyFont="1" applyFill="1" applyAlignment="1">
      <alignment horizontal="right"/>
    </xf>
    <xf numFmtId="49" fontId="17" fillId="0" borderId="14" xfId="8" applyFill="1" applyBorder="1">
      <alignment horizontal="left"/>
    </xf>
    <xf numFmtId="49" fontId="17" fillId="0" borderId="0" xfId="8" applyFill="1" applyBorder="1">
      <alignment horizontal="left"/>
    </xf>
    <xf numFmtId="49" fontId="17" fillId="0" borderId="0" xfId="8" applyFill="1">
      <alignment horizontal="left"/>
    </xf>
    <xf numFmtId="49" fontId="16" fillId="0" borderId="0" xfId="7" applyFill="1" applyAlignment="1">
      <alignment horizontal="left"/>
    </xf>
    <xf numFmtId="0" fontId="0" fillId="0" borderId="14" xfId="14" applyFont="1" applyFill="1"/>
    <xf numFmtId="10" fontId="1" fillId="0" borderId="14" xfId="62" applyNumberFormat="1" applyFont="1" applyFill="1" applyBorder="1" applyAlignment="1" applyProtection="1">
      <alignment horizontal="right"/>
    </xf>
    <xf numFmtId="0" fontId="18" fillId="34" borderId="25" xfId="57" applyFill="1" applyBorder="1" applyAlignment="1" applyProtection="1">
      <alignment horizontal="left" indent="1"/>
    </xf>
    <xf numFmtId="49" fontId="15" fillId="0" borderId="0" xfId="6" applyFill="1"/>
    <xf numFmtId="176" fontId="20" fillId="0" borderId="14" xfId="52" applyNumberFormat="1" applyFill="1">
      <alignment horizontal="centerContinuous" wrapText="1"/>
    </xf>
    <xf numFmtId="176" fontId="1" fillId="0" borderId="14" xfId="2" applyFont="1" applyFill="1" applyBorder="1" applyAlignment="1" applyProtection="1">
      <alignment horizontal="right"/>
    </xf>
    <xf numFmtId="49" fontId="20" fillId="0" borderId="14" xfId="52" applyNumberFormat="1" applyFill="1">
      <alignment horizontal="centerContinuous" wrapText="1"/>
    </xf>
    <xf numFmtId="170" fontId="21" fillId="0" borderId="14" xfId="59" applyNumberFormat="1" applyFill="1" applyAlignment="1">
      <alignment horizontal="right"/>
    </xf>
    <xf numFmtId="186" fontId="21" fillId="0" borderId="14" xfId="59" applyNumberFormat="1" applyFill="1" applyAlignment="1">
      <alignment horizontal="right"/>
    </xf>
    <xf numFmtId="175" fontId="21" fillId="0" borderId="14" xfId="59" applyNumberFormat="1" applyFill="1" applyAlignment="1">
      <alignment horizontal="right"/>
    </xf>
    <xf numFmtId="0" fontId="21" fillId="0" borderId="14" xfId="59" applyNumberFormat="1" applyFill="1" applyAlignment="1">
      <alignment horizontal="left" indent="2"/>
    </xf>
    <xf numFmtId="0" fontId="20" fillId="0" borderId="14" xfId="52" applyNumberFormat="1" applyFill="1">
      <alignment horizontal="centerContinuous" wrapText="1"/>
    </xf>
    <xf numFmtId="0" fontId="20" fillId="0" borderId="14" xfId="52" applyFill="1" applyAlignment="1">
      <alignment horizontal="center" wrapText="1"/>
    </xf>
    <xf numFmtId="178" fontId="1" fillId="0" borderId="22" xfId="14" applyNumberFormat="1" applyFill="1" applyBorder="1"/>
    <xf numFmtId="0" fontId="1" fillId="0" borderId="23" xfId="14" applyFill="1" applyBorder="1"/>
    <xf numFmtId="176" fontId="21" fillId="0" borderId="14" xfId="2" applyFont="1" applyFill="1" applyBorder="1"/>
    <xf numFmtId="176" fontId="1" fillId="0" borderId="14" xfId="2" applyFont="1" applyFill="1" applyBorder="1" applyProtection="1"/>
    <xf numFmtId="1" fontId="0" fillId="0" borderId="0" xfId="0" applyNumberFormat="1" applyFill="1"/>
    <xf numFmtId="187" fontId="0" fillId="0" borderId="0" xfId="0" applyNumberFormat="1" applyFill="1"/>
    <xf numFmtId="0" fontId="0" fillId="0" borderId="0" xfId="0" applyFill="1" applyBorder="1"/>
    <xf numFmtId="176" fontId="21" fillId="0" borderId="14" xfId="2" applyFont="1" applyFill="1" applyBorder="1" applyAlignment="1">
      <alignment horizontal="right"/>
    </xf>
    <xf numFmtId="9" fontId="1" fillId="0" borderId="14" xfId="62" applyFont="1" applyFill="1" applyBorder="1"/>
    <xf numFmtId="2" fontId="1" fillId="0" borderId="14" xfId="62" applyNumberFormat="1" applyFont="1" applyFill="1" applyBorder="1"/>
    <xf numFmtId="169" fontId="1" fillId="0" borderId="14" xfId="14" applyNumberFormat="1" applyFill="1"/>
    <xf numFmtId="173" fontId="21" fillId="0" borderId="14" xfId="53" applyFont="1" applyFill="1" applyBorder="1" applyAlignment="1" applyProtection="1">
      <alignment horizontal="right"/>
    </xf>
    <xf numFmtId="49" fontId="27" fillId="0" borderId="0" xfId="20" applyFill="1" applyBorder="1" applyAlignment="1">
      <alignment horizontal="left" indent="1"/>
    </xf>
    <xf numFmtId="168" fontId="1" fillId="0" borderId="0" xfId="48" applyFont="1" applyFill="1" applyBorder="1" applyAlignment="1" applyProtection="1">
      <alignment horizontal="right"/>
    </xf>
    <xf numFmtId="0" fontId="20" fillId="0" borderId="14" xfId="52" applyFill="1" applyAlignment="1">
      <alignment wrapText="1"/>
    </xf>
    <xf numFmtId="176" fontId="14" fillId="0" borderId="14" xfId="14" applyNumberFormat="1" applyFont="1" applyFill="1"/>
    <xf numFmtId="176" fontId="11" fillId="0" borderId="14" xfId="14" applyNumberFormat="1" applyFont="1" applyFill="1"/>
    <xf numFmtId="173" fontId="11" fillId="0" borderId="14" xfId="53" applyFont="1" applyFill="1" applyBorder="1" applyProtection="1"/>
    <xf numFmtId="0" fontId="0" fillId="0" borderId="14" xfId="14" applyFont="1" applyFill="1" applyAlignment="1">
      <alignment horizontal="right"/>
    </xf>
    <xf numFmtId="0" fontId="0" fillId="0" borderId="14" xfId="14" applyFont="1" applyFill="1" applyAlignment="1">
      <alignment horizontal="right" indent="1"/>
    </xf>
    <xf numFmtId="0" fontId="12" fillId="0" borderId="28" xfId="0" applyFont="1" applyBorder="1"/>
    <xf numFmtId="173" fontId="12" fillId="0" borderId="28" xfId="53" applyFont="1" applyBorder="1" applyAlignment="1" applyProtection="1"/>
    <xf numFmtId="0" fontId="34" fillId="0" borderId="26" xfId="0" applyFont="1" applyBorder="1" applyAlignment="1">
      <alignment horizontal="center" wrapText="1"/>
    </xf>
    <xf numFmtId="49" fontId="0" fillId="36" borderId="24" xfId="0" applyNumberFormat="1" applyFill="1" applyBorder="1"/>
    <xf numFmtId="0" fontId="18" fillId="36" borderId="25" xfId="57" applyFill="1" applyBorder="1" applyAlignment="1" applyProtection="1">
      <alignment horizontal="left" indent="1"/>
    </xf>
    <xf numFmtId="180" fontId="1" fillId="0" borderId="14" xfId="46" applyFont="1" applyFill="1" applyBorder="1" applyAlignment="1" applyProtection="1">
      <alignment vertical="top"/>
    </xf>
    <xf numFmtId="176" fontId="21" fillId="0" borderId="14" xfId="2" applyFont="1" applyFill="1" applyBorder="1" applyProtection="1"/>
    <xf numFmtId="188" fontId="0" fillId="0" borderId="14" xfId="62" applyNumberFormat="1" applyFont="1" applyFill="1" applyBorder="1" applyAlignment="1">
      <alignment horizontal="left" indent="2"/>
    </xf>
    <xf numFmtId="188" fontId="0" fillId="0" borderId="14" xfId="62" applyNumberFormat="1" applyFont="1" applyFill="1" applyBorder="1" applyAlignment="1">
      <alignment horizontal="right"/>
    </xf>
    <xf numFmtId="188" fontId="21" fillId="0" borderId="14" xfId="62" applyNumberFormat="1" applyFont="1" applyFill="1" applyBorder="1"/>
    <xf numFmtId="189" fontId="21" fillId="0" borderId="14" xfId="59" applyNumberFormat="1" applyFill="1"/>
    <xf numFmtId="173" fontId="14" fillId="0" borderId="14" xfId="53" applyFont="1" applyFill="1" applyBorder="1" applyProtection="1"/>
    <xf numFmtId="188" fontId="11" fillId="0" borderId="14" xfId="62" applyNumberFormat="1" applyFont="1" applyFill="1" applyBorder="1"/>
    <xf numFmtId="173" fontId="12" fillId="0" borderId="0" xfId="53" applyFont="1" applyProtection="1"/>
    <xf numFmtId="173" fontId="12" fillId="0" borderId="27" xfId="53" applyFont="1" applyBorder="1" applyProtection="1"/>
    <xf numFmtId="173" fontId="12" fillId="0" borderId="28" xfId="53" applyFont="1" applyBorder="1" applyProtection="1"/>
    <xf numFmtId="49" fontId="27" fillId="0" borderId="0" xfId="20" applyFill="1">
      <alignment horizontal="left" indent="1"/>
    </xf>
    <xf numFmtId="0" fontId="36" fillId="0" borderId="0" xfId="0" applyFont="1" applyFill="1"/>
    <xf numFmtId="176" fontId="19" fillId="0" borderId="14" xfId="2" applyFont="1" applyFill="1" applyBorder="1" applyProtection="1">
      <protection locked="0"/>
    </xf>
    <xf numFmtId="0" fontId="28" fillId="0" borderId="0" xfId="0" applyFont="1" applyFill="1" applyBorder="1"/>
    <xf numFmtId="0" fontId="14" fillId="0" borderId="0" xfId="0" applyFont="1" applyFill="1" applyBorder="1"/>
    <xf numFmtId="188" fontId="0" fillId="0" borderId="0" xfId="62" applyNumberFormat="1" applyFont="1" applyFill="1"/>
    <xf numFmtId="49" fontId="0" fillId="36" borderId="20" xfId="0" applyNumberFormat="1" applyFill="1" applyBorder="1"/>
    <xf numFmtId="0" fontId="18" fillId="36" borderId="21" xfId="57" applyFill="1" applyBorder="1" applyAlignment="1" applyProtection="1"/>
    <xf numFmtId="49" fontId="20" fillId="0" borderId="14" xfId="52" applyNumberFormat="1" applyFill="1" applyBorder="1">
      <alignment horizontal="centerContinuous" wrapText="1"/>
    </xf>
    <xf numFmtId="0" fontId="0" fillId="0" borderId="14" xfId="14" applyFont="1" applyFill="1" applyBorder="1" applyAlignment="1">
      <alignment vertical="top" wrapText="1"/>
    </xf>
    <xf numFmtId="0" fontId="1" fillId="0" borderId="14" xfId="14" applyFill="1" applyBorder="1" applyAlignment="1">
      <alignment vertical="top" wrapText="1"/>
    </xf>
    <xf numFmtId="0" fontId="0" fillId="0" borderId="0" xfId="0" applyBorder="1" applyAlignment="1">
      <alignment wrapText="1"/>
    </xf>
    <xf numFmtId="0" fontId="0" fillId="0" borderId="0" xfId="0" applyBorder="1" applyAlignment="1"/>
  </cellXfs>
  <cellStyles count="66">
    <cellStyle name="20% - Accent1" xfId="23" builtinId="30" hidden="1"/>
    <cellStyle name="20% - Accent2" xfId="27" builtinId="34" hidden="1"/>
    <cellStyle name="20% - Accent3" xfId="31" builtinId="38" hidden="1"/>
    <cellStyle name="20% - Accent4" xfId="35" builtinId="42" hidden="1"/>
    <cellStyle name="20% - Accent5" xfId="39" builtinId="46" hidden="1"/>
    <cellStyle name="20% - Accent6" xfId="43" builtinId="50" hidden="1"/>
    <cellStyle name="40% - Accent1" xfId="24" builtinId="31" hidden="1"/>
    <cellStyle name="40% - Accent2" xfId="28" builtinId="35" hidden="1"/>
    <cellStyle name="40% - Accent3" xfId="32" builtinId="39" hidden="1"/>
    <cellStyle name="40% - Accent4" xfId="36" builtinId="43" hidden="1"/>
    <cellStyle name="40% - Accent5" xfId="40" builtinId="47" hidden="1"/>
    <cellStyle name="40% - Accent6" xfId="44" builtinId="51" hidden="1"/>
    <cellStyle name="60% - Accent1" xfId="25" builtinId="32" hidden="1"/>
    <cellStyle name="60% - Accent2" xfId="29" builtinId="36" hidden="1"/>
    <cellStyle name="60% - Accent3" xfId="33" builtinId="40" hidden="1"/>
    <cellStyle name="60% - Accent4" xfId="37" builtinId="44" hidden="1"/>
    <cellStyle name="60% - Accent5" xfId="41" builtinId="48" hidden="1"/>
    <cellStyle name="60% - Accent6" xfId="45" builtinId="52" hidden="1"/>
    <cellStyle name="Accent1" xfId="22" builtinId="29" hidden="1"/>
    <cellStyle name="Accent2" xfId="26" builtinId="33" hidden="1"/>
    <cellStyle name="Accent3" xfId="30" builtinId="37" hidden="1"/>
    <cellStyle name="Accent4" xfId="34" builtinId="41" hidden="1"/>
    <cellStyle name="Accent5" xfId="38" builtinId="45" hidden="1"/>
    <cellStyle name="Accent6" xfId="42" builtinId="49" hidden="1"/>
    <cellStyle name="Bad" xfId="11" builtinId="27" hidden="1"/>
    <cellStyle name="Calculation" xfId="15" builtinId="22" hidden="1"/>
    <cellStyle name="Check Cell" xfId="17" builtinId="23" hidden="1"/>
    <cellStyle name="Comma" xfId="1" builtinId="3" hidden="1"/>
    <cellStyle name="Comma" xfId="60" builtinId="3" hidden="1"/>
    <cellStyle name="Comma [0]" xfId="2" builtinId="6" customBuiltin="1"/>
    <cellStyle name="Comma [1]" xfId="47"/>
    <cellStyle name="Comma [2]" xfId="48"/>
    <cellStyle name="Comma [3]" xfId="65"/>
    <cellStyle name="Comma [4]" xfId="49"/>
    <cellStyle name="Currency" xfId="3" builtinId="4" hidden="1"/>
    <cellStyle name="Currency [0]" xfId="4" builtinId="7" hidden="1"/>
    <cellStyle name="Date (short)" xfId="50"/>
    <cellStyle name="Explanatory Text" xfId="20" builtinId="53" customBuiltin="1"/>
    <cellStyle name="Explanatory Text 2" xfId="64"/>
    <cellStyle name="Followed Hyperlink" xfId="63" builtinId="9" hidden="1"/>
    <cellStyle name="Good" xfId="10" builtinId="26" hidden="1"/>
    <cellStyle name="Heading 1" xfId="6" builtinId="16" customBuiltin="1"/>
    <cellStyle name="Heading 2" xfId="7" builtinId="17" customBuiltin="1"/>
    <cellStyle name="Heading 3" xfId="8" builtinId="18" customBuiltin="1"/>
    <cellStyle name="Heading 4" xfId="9" builtinId="19" hidden="1"/>
    <cellStyle name="Hyperlink" xfId="57" builtinId="8" customBuiltin="1"/>
    <cellStyle name="Input" xfId="13" builtinId="20" customBuiltin="1"/>
    <cellStyle name="Label" xfId="52"/>
    <cellStyle name="Link" xfId="59"/>
    <cellStyle name="Linked Cell" xfId="16" builtinId="24" hidden="1"/>
    <cellStyle name="Neutral" xfId="12" builtinId="28" hidden="1"/>
    <cellStyle name="Normal" xfId="0" builtinId="0" customBuiltin="1"/>
    <cellStyle name="Note" xfId="19" builtinId="10" hidden="1"/>
    <cellStyle name="Output" xfId="14" builtinId="21" customBuiltin="1"/>
    <cellStyle name="Percent" xfId="58" builtinId="5" hidden="1" customBuiltin="1"/>
    <cellStyle name="Percent" xfId="62" builtinId="5"/>
    <cellStyle name="Percent [0]" xfId="51"/>
    <cellStyle name="Percent [1]" xfId="61"/>
    <cellStyle name="Percent [2]" xfId="53"/>
    <cellStyle name="Percent [3]" xfId="54"/>
    <cellStyle name="Rt border" xfId="55"/>
    <cellStyle name="Text" xfId="56"/>
    <cellStyle name="Title" xfId="5" builtinId="15" customBuiltin="1"/>
    <cellStyle name="Total" xfId="21" builtinId="25" hidden="1"/>
    <cellStyle name="Warning Text" xfId="18" builtinId="11" hidden="1"/>
    <cellStyle name="Year" xfId="46"/>
  </cellStyles>
  <dxfs count="0"/>
  <tableStyles count="0" defaultTableStyle="TableStyleMedium2" defaultPivotStyle="PivotStyleLight16"/>
  <colors>
    <mruColors>
      <color rgb="FFD97E55"/>
      <color rgb="FF3E8A92"/>
      <color rgb="FF5FB0B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938845144356954"/>
          <c:y val="3.7209298691639019E-2"/>
          <c:w val="0.69548665791776032"/>
          <c:h val="0.9105695503319734"/>
        </c:manualLayout>
      </c:layout>
      <c:barChart>
        <c:barDir val="bar"/>
        <c:grouping val="clustered"/>
        <c:varyColors val="0"/>
        <c:ser>
          <c:idx val="0"/>
          <c:order val="0"/>
          <c:tx>
            <c:strRef>
              <c:f>Charts!$B$4</c:f>
              <c:strCache>
                <c:ptCount val="1"/>
                <c:pt idx="0">
                  <c:v>Forecast CPRG</c:v>
                </c:pt>
              </c:strCache>
            </c:strRef>
          </c:tx>
          <c:spPr>
            <a:solidFill>
              <a:srgbClr val="3E8A92"/>
            </a:solidFill>
          </c:spPr>
          <c:invertIfNegative val="0"/>
          <c:cat>
            <c:strRef>
              <c:f>Charts!$A$5:$A$20</c:f>
              <c:strCache>
                <c:ptCount val="16"/>
                <c:pt idx="0">
                  <c:v>Alpine Energy</c:v>
                </c:pt>
                <c:pt idx="1">
                  <c:v>Aurora Energy</c:v>
                </c:pt>
                <c:pt idx="2">
                  <c:v>Centralines</c:v>
                </c:pt>
                <c:pt idx="3">
                  <c:v>Eastland Network</c:v>
                </c:pt>
                <c:pt idx="4">
                  <c:v>Electricity Ashburton</c:v>
                </c:pt>
                <c:pt idx="5">
                  <c:v>Electricity Invercargill</c:v>
                </c:pt>
                <c:pt idx="6">
                  <c:v>Horizon Energy</c:v>
                </c:pt>
                <c:pt idx="7">
                  <c:v>Nelson Electricity</c:v>
                </c:pt>
                <c:pt idx="8">
                  <c:v>Network Tasman</c:v>
                </c:pt>
                <c:pt idx="9">
                  <c:v>OtagoNet</c:v>
                </c:pt>
                <c:pt idx="10">
                  <c:v>Powerco</c:v>
                </c:pt>
                <c:pt idx="11">
                  <c:v>The Lines Company</c:v>
                </c:pt>
                <c:pt idx="12">
                  <c:v>Top Energy</c:v>
                </c:pt>
                <c:pt idx="13">
                  <c:v>Unison Networks</c:v>
                </c:pt>
                <c:pt idx="14">
                  <c:v>Vector Lines</c:v>
                </c:pt>
                <c:pt idx="15">
                  <c:v>Wellington Electricity</c:v>
                </c:pt>
              </c:strCache>
            </c:strRef>
          </c:cat>
          <c:val>
            <c:numRef>
              <c:f>Charts!$B$5:$B$20</c:f>
              <c:numCache>
                <c:formatCode>_(* #,##0.00%_);_(* \(#,##0.00%\);_(* "–"???_);_(* @_)</c:formatCode>
                <c:ptCount val="16"/>
                <c:pt idx="0">
                  <c:v>5.4803237473892707E-3</c:v>
                </c:pt>
                <c:pt idx="1">
                  <c:v>6.4726399189891648E-3</c:v>
                </c:pt>
                <c:pt idx="2">
                  <c:v>-2.5500588774990396E-3</c:v>
                </c:pt>
                <c:pt idx="3">
                  <c:v>-2.2495067489118892E-3</c:v>
                </c:pt>
                <c:pt idx="4">
                  <c:v>1.5989394164066306E-2</c:v>
                </c:pt>
                <c:pt idx="5">
                  <c:v>-1.1456926475380547E-3</c:v>
                </c:pt>
                <c:pt idx="6">
                  <c:v>-6.3921843140435364E-4</c:v>
                </c:pt>
                <c:pt idx="7">
                  <c:v>5.2828068935344419E-3</c:v>
                </c:pt>
                <c:pt idx="8">
                  <c:v>5.9734074574071538E-3</c:v>
                </c:pt>
                <c:pt idx="9">
                  <c:v>3.0042551825457675E-3</c:v>
                </c:pt>
                <c:pt idx="10">
                  <c:v>5.0885795365811504E-3</c:v>
                </c:pt>
                <c:pt idx="11">
                  <c:v>-4.7755866874987785E-4</c:v>
                </c:pt>
                <c:pt idx="12">
                  <c:v>3.077150201565404E-3</c:v>
                </c:pt>
                <c:pt idx="13">
                  <c:v>4.9586501062370836E-4</c:v>
                </c:pt>
                <c:pt idx="14">
                  <c:v>1.6719424191413257E-2</c:v>
                </c:pt>
                <c:pt idx="15">
                  <c:v>8.0901277326554943E-3</c:v>
                </c:pt>
              </c:numCache>
            </c:numRef>
          </c:val>
        </c:ser>
        <c:ser>
          <c:idx val="1"/>
          <c:order val="1"/>
          <c:tx>
            <c:strRef>
              <c:f>Charts!$C$4</c:f>
              <c:strCache>
                <c:ptCount val="1"/>
                <c:pt idx="0">
                  <c:v>Estimated CPRG</c:v>
                </c:pt>
              </c:strCache>
            </c:strRef>
          </c:tx>
          <c:spPr>
            <a:solidFill>
              <a:schemeClr val="accent3">
                <a:lumMod val="75000"/>
              </a:schemeClr>
            </a:solidFill>
          </c:spPr>
          <c:invertIfNegative val="0"/>
          <c:cat>
            <c:strRef>
              <c:f>Charts!$A$5:$A$20</c:f>
              <c:strCache>
                <c:ptCount val="16"/>
                <c:pt idx="0">
                  <c:v>Alpine Energy</c:v>
                </c:pt>
                <c:pt idx="1">
                  <c:v>Aurora Energy</c:v>
                </c:pt>
                <c:pt idx="2">
                  <c:v>Centralines</c:v>
                </c:pt>
                <c:pt idx="3">
                  <c:v>Eastland Network</c:v>
                </c:pt>
                <c:pt idx="4">
                  <c:v>Electricity Ashburton</c:v>
                </c:pt>
                <c:pt idx="5">
                  <c:v>Electricity Invercargill</c:v>
                </c:pt>
                <c:pt idx="6">
                  <c:v>Horizon Energy</c:v>
                </c:pt>
                <c:pt idx="7">
                  <c:v>Nelson Electricity</c:v>
                </c:pt>
                <c:pt idx="8">
                  <c:v>Network Tasman</c:v>
                </c:pt>
                <c:pt idx="9">
                  <c:v>OtagoNet</c:v>
                </c:pt>
                <c:pt idx="10">
                  <c:v>Powerco</c:v>
                </c:pt>
                <c:pt idx="11">
                  <c:v>The Lines Company</c:v>
                </c:pt>
                <c:pt idx="12">
                  <c:v>Top Energy</c:v>
                </c:pt>
                <c:pt idx="13">
                  <c:v>Unison Networks</c:v>
                </c:pt>
                <c:pt idx="14">
                  <c:v>Vector Lines</c:v>
                </c:pt>
                <c:pt idx="15">
                  <c:v>Wellington Electricity</c:v>
                </c:pt>
              </c:strCache>
            </c:strRef>
          </c:cat>
          <c:val>
            <c:numRef>
              <c:f>Charts!$C$5:$C$20</c:f>
              <c:numCache>
                <c:formatCode>_(* #,##0.00%_);_(* \(#,##0.00%\);_(* "–"???_);_(* @_)</c:formatCode>
                <c:ptCount val="16"/>
                <c:pt idx="0">
                  <c:v>6.1004167666081965E-2</c:v>
                </c:pt>
                <c:pt idx="1">
                  <c:v>3.9838571909245335E-3</c:v>
                </c:pt>
                <c:pt idx="2">
                  <c:v>4.2751973493915241E-3</c:v>
                </c:pt>
                <c:pt idx="3">
                  <c:v>-2.3257256247368741E-3</c:v>
                </c:pt>
                <c:pt idx="4">
                  <c:v>3.6222202032837103E-2</c:v>
                </c:pt>
                <c:pt idx="5">
                  <c:v>-7.8258201057023191E-3</c:v>
                </c:pt>
                <c:pt idx="6">
                  <c:v>7.2741200116501759E-3</c:v>
                </c:pt>
                <c:pt idx="7">
                  <c:v>-2.5188114547417539E-2</c:v>
                </c:pt>
                <c:pt idx="8">
                  <c:v>9.1925922568609764E-3</c:v>
                </c:pt>
                <c:pt idx="9">
                  <c:v>1.4907583880758635E-2</c:v>
                </c:pt>
                <c:pt idx="10">
                  <c:v>4.2129846515184255E-3</c:v>
                </c:pt>
                <c:pt idx="11">
                  <c:v>2.5246749229830945E-2</c:v>
                </c:pt>
                <c:pt idx="12">
                  <c:v>-1.9731167310506725E-2</c:v>
                </c:pt>
                <c:pt idx="13">
                  <c:v>2.8087998606707298E-3</c:v>
                </c:pt>
                <c:pt idx="14">
                  <c:v>9.4104794657445812E-3</c:v>
                </c:pt>
                <c:pt idx="15">
                  <c:v>-5.9835105107924891E-3</c:v>
                </c:pt>
              </c:numCache>
            </c:numRef>
          </c:val>
        </c:ser>
        <c:dLbls>
          <c:showLegendKey val="0"/>
          <c:showVal val="0"/>
          <c:showCatName val="0"/>
          <c:showSerName val="0"/>
          <c:showPercent val="0"/>
          <c:showBubbleSize val="0"/>
        </c:dLbls>
        <c:gapWidth val="121"/>
        <c:axId val="157026560"/>
        <c:axId val="157028352"/>
      </c:barChart>
      <c:catAx>
        <c:axId val="157026560"/>
        <c:scaling>
          <c:orientation val="maxMin"/>
        </c:scaling>
        <c:delete val="0"/>
        <c:axPos val="l"/>
        <c:majorTickMark val="out"/>
        <c:minorTickMark val="none"/>
        <c:tickLblPos val="low"/>
        <c:txPr>
          <a:bodyPr/>
          <a:lstStyle/>
          <a:p>
            <a:pPr>
              <a:defRPr sz="800"/>
            </a:pPr>
            <a:endParaRPr lang="en-US"/>
          </a:p>
        </c:txPr>
        <c:crossAx val="157028352"/>
        <c:crosses val="autoZero"/>
        <c:auto val="1"/>
        <c:lblAlgn val="ctr"/>
        <c:lblOffset val="100"/>
        <c:noMultiLvlLbl val="0"/>
      </c:catAx>
      <c:valAx>
        <c:axId val="157028352"/>
        <c:scaling>
          <c:orientation val="minMax"/>
        </c:scaling>
        <c:delete val="0"/>
        <c:axPos val="t"/>
        <c:majorGridlines>
          <c:spPr>
            <a:ln w="6350">
              <a:solidFill>
                <a:schemeClr val="bg1">
                  <a:lumMod val="85000"/>
                </a:schemeClr>
              </a:solidFill>
            </a:ln>
          </c:spPr>
        </c:majorGridlines>
        <c:numFmt formatCode="0%" sourceLinked="0"/>
        <c:majorTickMark val="out"/>
        <c:minorTickMark val="none"/>
        <c:tickLblPos val="high"/>
        <c:spPr>
          <a:ln>
            <a:noFill/>
          </a:ln>
        </c:spPr>
        <c:txPr>
          <a:bodyPr/>
          <a:lstStyle/>
          <a:p>
            <a:pPr>
              <a:defRPr sz="800"/>
            </a:pPr>
            <a:endParaRPr lang="en-US"/>
          </a:p>
        </c:txPr>
        <c:crossAx val="157026560"/>
        <c:crosses val="autoZero"/>
        <c:crossBetween val="between"/>
      </c:valAx>
    </c:plotArea>
    <c:legend>
      <c:legendPos val="r"/>
      <c:layout>
        <c:manualLayout>
          <c:xMode val="edge"/>
          <c:yMode val="edge"/>
          <c:x val="0.70465662945977903"/>
          <c:y val="0.82776587301587301"/>
          <c:w val="0.2688477401863229"/>
          <c:h val="0.12331164021164021"/>
        </c:manualLayout>
      </c:layout>
      <c:overlay val="0"/>
      <c:spPr>
        <a:solidFill>
          <a:schemeClr val="bg1"/>
        </a:solidFill>
      </c:spPr>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719300144300143"/>
          <c:y val="3.7209298691639019E-2"/>
          <c:w val="0.59370382395382393"/>
          <c:h val="0.9105695503319734"/>
        </c:manualLayout>
      </c:layout>
      <c:barChart>
        <c:barDir val="bar"/>
        <c:grouping val="clustered"/>
        <c:varyColors val="0"/>
        <c:ser>
          <c:idx val="0"/>
          <c:order val="0"/>
          <c:spPr>
            <a:solidFill>
              <a:srgbClr val="3E8A92"/>
            </a:solidFill>
          </c:spPr>
          <c:invertIfNegative val="0"/>
          <c:cat>
            <c:strRef>
              <c:f>Charts!$I$5:$I$20</c:f>
              <c:strCache>
                <c:ptCount val="16"/>
                <c:pt idx="0">
                  <c:v>Alpine Energy</c:v>
                </c:pt>
                <c:pt idx="1">
                  <c:v>The Lines Company</c:v>
                </c:pt>
                <c:pt idx="2">
                  <c:v>Electricity Ashburton</c:v>
                </c:pt>
                <c:pt idx="3">
                  <c:v>OtagoNet</c:v>
                </c:pt>
                <c:pt idx="4">
                  <c:v>Horizon Energy</c:v>
                </c:pt>
                <c:pt idx="5">
                  <c:v>Centralines</c:v>
                </c:pt>
                <c:pt idx="6">
                  <c:v>Network Tasman</c:v>
                </c:pt>
                <c:pt idx="7">
                  <c:v>Unison Networks</c:v>
                </c:pt>
                <c:pt idx="8">
                  <c:v>Eastland Network</c:v>
                </c:pt>
                <c:pt idx="9">
                  <c:v>Powerco</c:v>
                </c:pt>
                <c:pt idx="10">
                  <c:v>Aurora Energy</c:v>
                </c:pt>
                <c:pt idx="11">
                  <c:v>Electricity Invercargill</c:v>
                </c:pt>
                <c:pt idx="12">
                  <c:v>Vector Lines</c:v>
                </c:pt>
                <c:pt idx="13">
                  <c:v>Wellington Electricity</c:v>
                </c:pt>
                <c:pt idx="14">
                  <c:v>Top Energy</c:v>
                </c:pt>
                <c:pt idx="15">
                  <c:v>Nelson Electricity</c:v>
                </c:pt>
              </c:strCache>
            </c:strRef>
          </c:cat>
          <c:val>
            <c:numRef>
              <c:f>Charts!$J$5:$J$20</c:f>
              <c:numCache>
                <c:formatCode>General</c:formatCode>
                <c:ptCount val="16"/>
                <c:pt idx="0">
                  <c:v>5.5523843918692695</c:v>
                </c:pt>
                <c:pt idx="1">
                  <c:v>2.5724307898580823</c:v>
                </c:pt>
                <c:pt idx="2">
                  <c:v>2.0232807868770797</c:v>
                </c:pt>
                <c:pt idx="3">
                  <c:v>1.1903328698212867</c:v>
                </c:pt>
                <c:pt idx="4">
                  <c:v>0.79133384430545295</c:v>
                </c:pt>
                <c:pt idx="5">
                  <c:v>0.68252562268905637</c:v>
                </c:pt>
                <c:pt idx="6">
                  <c:v>0.32191847994538225</c:v>
                </c:pt>
                <c:pt idx="7">
                  <c:v>0.23129348500470215</c:v>
                </c:pt>
                <c:pt idx="8">
                  <c:v>-7.6218875824984877E-3</c:v>
                </c:pt>
                <c:pt idx="9">
                  <c:v>-8.7559488506272487E-2</c:v>
                </c:pt>
                <c:pt idx="10">
                  <c:v>-0.24887827280646313</c:v>
                </c:pt>
                <c:pt idx="11">
                  <c:v>-0.66801274581642645</c:v>
                </c:pt>
                <c:pt idx="12">
                  <c:v>-0.73089447256686757</c:v>
                </c:pt>
                <c:pt idx="13">
                  <c:v>-1.4073638243447983</c:v>
                </c:pt>
                <c:pt idx="14">
                  <c:v>-2.2808317512072129</c:v>
                </c:pt>
                <c:pt idx="15">
                  <c:v>-3.0470921440951981</c:v>
                </c:pt>
              </c:numCache>
            </c:numRef>
          </c:val>
        </c:ser>
        <c:dLbls>
          <c:showLegendKey val="0"/>
          <c:showVal val="0"/>
          <c:showCatName val="0"/>
          <c:showSerName val="0"/>
          <c:showPercent val="0"/>
          <c:showBubbleSize val="0"/>
        </c:dLbls>
        <c:gapWidth val="121"/>
        <c:axId val="157044096"/>
        <c:axId val="157066368"/>
      </c:barChart>
      <c:catAx>
        <c:axId val="157044096"/>
        <c:scaling>
          <c:orientation val="maxMin"/>
        </c:scaling>
        <c:delete val="0"/>
        <c:axPos val="l"/>
        <c:numFmt formatCode="General" sourceLinked="1"/>
        <c:majorTickMark val="cross"/>
        <c:minorTickMark val="none"/>
        <c:tickLblPos val="low"/>
        <c:txPr>
          <a:bodyPr/>
          <a:lstStyle/>
          <a:p>
            <a:pPr>
              <a:defRPr sz="800"/>
            </a:pPr>
            <a:endParaRPr lang="en-US"/>
          </a:p>
        </c:txPr>
        <c:crossAx val="157066368"/>
        <c:crosses val="autoZero"/>
        <c:auto val="1"/>
        <c:lblAlgn val="ctr"/>
        <c:lblOffset val="100"/>
        <c:noMultiLvlLbl val="0"/>
      </c:catAx>
      <c:valAx>
        <c:axId val="157066368"/>
        <c:scaling>
          <c:orientation val="minMax"/>
        </c:scaling>
        <c:delete val="0"/>
        <c:axPos val="t"/>
        <c:majorGridlines>
          <c:spPr>
            <a:ln w="6350">
              <a:solidFill>
                <a:schemeClr val="bg1">
                  <a:lumMod val="85000"/>
                </a:schemeClr>
              </a:solidFill>
            </a:ln>
          </c:spPr>
        </c:majorGridlines>
        <c:numFmt formatCode="#,##0" sourceLinked="0"/>
        <c:majorTickMark val="out"/>
        <c:minorTickMark val="none"/>
        <c:tickLblPos val="high"/>
        <c:spPr>
          <a:ln>
            <a:noFill/>
          </a:ln>
        </c:spPr>
        <c:txPr>
          <a:bodyPr/>
          <a:lstStyle/>
          <a:p>
            <a:pPr>
              <a:defRPr sz="800"/>
            </a:pPr>
            <a:endParaRPr lang="en-US"/>
          </a:p>
        </c:txPr>
        <c:crossAx val="1570440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719300144300143"/>
          <c:y val="3.7209298691639019E-2"/>
          <c:w val="0.59370382395382393"/>
          <c:h val="0.9105695503319734"/>
        </c:manualLayout>
      </c:layout>
      <c:barChart>
        <c:barDir val="bar"/>
        <c:grouping val="clustered"/>
        <c:varyColors val="0"/>
        <c:ser>
          <c:idx val="0"/>
          <c:order val="0"/>
          <c:spPr>
            <a:solidFill>
              <a:srgbClr val="3E8A92"/>
            </a:solidFill>
          </c:spPr>
          <c:invertIfNegative val="0"/>
          <c:cat>
            <c:strRef>
              <c:f>Charts!$P$5:$P$20</c:f>
              <c:strCache>
                <c:ptCount val="16"/>
                <c:pt idx="0">
                  <c:v>Vector Lines</c:v>
                </c:pt>
                <c:pt idx="1">
                  <c:v>Unison Networks</c:v>
                </c:pt>
                <c:pt idx="2">
                  <c:v>Wellington Electricity</c:v>
                </c:pt>
                <c:pt idx="3">
                  <c:v>Eastland Network</c:v>
                </c:pt>
                <c:pt idx="4">
                  <c:v>Horizon Energy</c:v>
                </c:pt>
                <c:pt idx="5">
                  <c:v>Aurora Energy</c:v>
                </c:pt>
                <c:pt idx="6">
                  <c:v>Powerco</c:v>
                </c:pt>
                <c:pt idx="7">
                  <c:v>OtagoNet</c:v>
                </c:pt>
                <c:pt idx="8">
                  <c:v>Electricity Invercargill</c:v>
                </c:pt>
                <c:pt idx="9">
                  <c:v>Nelson Electricity</c:v>
                </c:pt>
                <c:pt idx="10">
                  <c:v>Alpine Energy</c:v>
                </c:pt>
                <c:pt idx="11">
                  <c:v>Centralines</c:v>
                </c:pt>
                <c:pt idx="12">
                  <c:v>Electricity Ashburton</c:v>
                </c:pt>
                <c:pt idx="13">
                  <c:v>Network Tasman</c:v>
                </c:pt>
                <c:pt idx="14">
                  <c:v>Top Energy</c:v>
                </c:pt>
                <c:pt idx="15">
                  <c:v>The Lines Company</c:v>
                </c:pt>
              </c:strCache>
            </c:strRef>
          </c:cat>
          <c:val>
            <c:numRef>
              <c:f>Charts!$Q$5:$Q$20</c:f>
              <c:numCache>
                <c:formatCode>General</c:formatCode>
                <c:ptCount val="16"/>
                <c:pt idx="0">
                  <c:v>-1.4259843256281268E-2</c:v>
                </c:pt>
                <c:pt idx="1">
                  <c:v>-0.27209219072399371</c:v>
                </c:pt>
                <c:pt idx="2">
                  <c:v>-0.31217140444367297</c:v>
                </c:pt>
                <c:pt idx="3">
                  <c:v>-0.46256354238382036</c:v>
                </c:pt>
                <c:pt idx="4">
                  <c:v>-0.47895384291261056</c:v>
                </c:pt>
                <c:pt idx="5">
                  <c:v>-0.66453792389498112</c:v>
                </c:pt>
                <c:pt idx="6">
                  <c:v>-0.69158138613212294</c:v>
                </c:pt>
                <c:pt idx="7">
                  <c:v>-0.72410305482775161</c:v>
                </c:pt>
                <c:pt idx="8">
                  <c:v>-1.2210842186732962</c:v>
                </c:pt>
                <c:pt idx="9">
                  <c:v>-1.4846278599938589</c:v>
                </c:pt>
                <c:pt idx="10">
                  <c:v>-2.666652829047389</c:v>
                </c:pt>
                <c:pt idx="11">
                  <c:v>-3.3792233464058241</c:v>
                </c:pt>
                <c:pt idx="12">
                  <c:v>-3.7578128013474044</c:v>
                </c:pt>
                <c:pt idx="13">
                  <c:v>-10.8582786231051</c:v>
                </c:pt>
                <c:pt idx="14">
                  <c:v>-12.421745731325029</c:v>
                </c:pt>
                <c:pt idx="15">
                  <c:v>-16.514930930770966</c:v>
                </c:pt>
              </c:numCache>
            </c:numRef>
          </c:val>
        </c:ser>
        <c:dLbls>
          <c:showLegendKey val="0"/>
          <c:showVal val="0"/>
          <c:showCatName val="0"/>
          <c:showSerName val="0"/>
          <c:showPercent val="0"/>
          <c:showBubbleSize val="0"/>
        </c:dLbls>
        <c:gapWidth val="121"/>
        <c:axId val="157081984"/>
        <c:axId val="157083520"/>
      </c:barChart>
      <c:catAx>
        <c:axId val="157081984"/>
        <c:scaling>
          <c:orientation val="maxMin"/>
        </c:scaling>
        <c:delete val="0"/>
        <c:axPos val="l"/>
        <c:numFmt formatCode="General" sourceLinked="1"/>
        <c:majorTickMark val="cross"/>
        <c:minorTickMark val="none"/>
        <c:tickLblPos val="low"/>
        <c:txPr>
          <a:bodyPr/>
          <a:lstStyle/>
          <a:p>
            <a:pPr>
              <a:defRPr sz="800"/>
            </a:pPr>
            <a:endParaRPr lang="en-US"/>
          </a:p>
        </c:txPr>
        <c:crossAx val="157083520"/>
        <c:crosses val="autoZero"/>
        <c:auto val="1"/>
        <c:lblAlgn val="ctr"/>
        <c:lblOffset val="100"/>
        <c:noMultiLvlLbl val="0"/>
      </c:catAx>
      <c:valAx>
        <c:axId val="157083520"/>
        <c:scaling>
          <c:orientation val="minMax"/>
        </c:scaling>
        <c:delete val="0"/>
        <c:axPos val="t"/>
        <c:majorGridlines>
          <c:spPr>
            <a:ln w="6350">
              <a:solidFill>
                <a:schemeClr val="bg1">
                  <a:lumMod val="85000"/>
                </a:schemeClr>
              </a:solidFill>
            </a:ln>
          </c:spPr>
        </c:majorGridlines>
        <c:numFmt formatCode="#,##0" sourceLinked="0"/>
        <c:majorTickMark val="out"/>
        <c:minorTickMark val="none"/>
        <c:tickLblPos val="high"/>
        <c:spPr>
          <a:ln>
            <a:noFill/>
          </a:ln>
        </c:spPr>
        <c:txPr>
          <a:bodyPr/>
          <a:lstStyle/>
          <a:p>
            <a:pPr>
              <a:defRPr sz="800"/>
            </a:pPr>
            <a:endParaRPr lang="en-US"/>
          </a:p>
        </c:txPr>
        <c:crossAx val="157081984"/>
        <c:crosses val="autoZero"/>
        <c:crossBetween val="between"/>
        <c:majorUnit val="5"/>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719300144300143"/>
          <c:y val="3.7209298691639019E-2"/>
          <c:w val="0.59370382395382393"/>
          <c:h val="0.9105695503319734"/>
        </c:manualLayout>
      </c:layout>
      <c:barChart>
        <c:barDir val="bar"/>
        <c:grouping val="clustered"/>
        <c:varyColors val="0"/>
        <c:ser>
          <c:idx val="0"/>
          <c:order val="0"/>
          <c:spPr>
            <a:solidFill>
              <a:srgbClr val="3E8A92"/>
            </a:solidFill>
          </c:spPr>
          <c:invertIfNegative val="0"/>
          <c:cat>
            <c:strRef>
              <c:f>Charts!$W$5:$W$20</c:f>
              <c:strCache>
                <c:ptCount val="16"/>
                <c:pt idx="0">
                  <c:v>Aurora Energy</c:v>
                </c:pt>
                <c:pt idx="1">
                  <c:v>Top Energy</c:v>
                </c:pt>
                <c:pt idx="2">
                  <c:v>Unison Networks</c:v>
                </c:pt>
                <c:pt idx="3">
                  <c:v>OtagoNet</c:v>
                </c:pt>
                <c:pt idx="4">
                  <c:v>Network Tasman</c:v>
                </c:pt>
                <c:pt idx="5">
                  <c:v>Powerco</c:v>
                </c:pt>
                <c:pt idx="6">
                  <c:v>Wellington Electricity</c:v>
                </c:pt>
                <c:pt idx="7">
                  <c:v>Nelson Electricity</c:v>
                </c:pt>
                <c:pt idx="8">
                  <c:v>Centralines</c:v>
                </c:pt>
                <c:pt idx="9">
                  <c:v>Horizon Energy</c:v>
                </c:pt>
                <c:pt idx="10">
                  <c:v>Electricity Ashburton</c:v>
                </c:pt>
                <c:pt idx="11">
                  <c:v>Alpine Energy</c:v>
                </c:pt>
                <c:pt idx="12">
                  <c:v>The Lines Company</c:v>
                </c:pt>
                <c:pt idx="13">
                  <c:v>Electricity Invercargill</c:v>
                </c:pt>
                <c:pt idx="14">
                  <c:v>Eastland Network</c:v>
                </c:pt>
                <c:pt idx="15">
                  <c:v>Vector Lines</c:v>
                </c:pt>
              </c:strCache>
            </c:strRef>
          </c:cat>
          <c:val>
            <c:numRef>
              <c:f>Charts!$X$5:$X$20</c:f>
              <c:numCache>
                <c:formatCode>General</c:formatCode>
                <c:ptCount val="16"/>
                <c:pt idx="0">
                  <c:v>7773490.6637980593</c:v>
                </c:pt>
                <c:pt idx="1">
                  <c:v>2045663.7603930614</c:v>
                </c:pt>
                <c:pt idx="2">
                  <c:v>1875013.9244308493</c:v>
                </c:pt>
                <c:pt idx="3">
                  <c:v>1678358.3664362933</c:v>
                </c:pt>
                <c:pt idx="4">
                  <c:v>1221145.4330417719</c:v>
                </c:pt>
                <c:pt idx="5">
                  <c:v>813038.69136270764</c:v>
                </c:pt>
                <c:pt idx="6">
                  <c:v>490378.09055456048</c:v>
                </c:pt>
                <c:pt idx="7">
                  <c:v>482531.23289871408</c:v>
                </c:pt>
                <c:pt idx="8">
                  <c:v>407196.50891941122</c:v>
                </c:pt>
                <c:pt idx="9">
                  <c:v>312685.70547907404</c:v>
                </c:pt>
                <c:pt idx="10">
                  <c:v>246008.36685760855</c:v>
                </c:pt>
                <c:pt idx="11">
                  <c:v>46361.373998947936</c:v>
                </c:pt>
                <c:pt idx="12">
                  <c:v>-159871.08176560214</c:v>
                </c:pt>
                <c:pt idx="13">
                  <c:v>-160765.13459340503</c:v>
                </c:pt>
                <c:pt idx="14">
                  <c:v>-382454.36777256947</c:v>
                </c:pt>
                <c:pt idx="15">
                  <c:v>-13346450.774158627</c:v>
                </c:pt>
              </c:numCache>
            </c:numRef>
          </c:val>
        </c:ser>
        <c:dLbls>
          <c:showLegendKey val="0"/>
          <c:showVal val="0"/>
          <c:showCatName val="0"/>
          <c:showSerName val="0"/>
          <c:showPercent val="0"/>
          <c:showBubbleSize val="0"/>
        </c:dLbls>
        <c:gapWidth val="121"/>
        <c:axId val="158284416"/>
        <c:axId val="158306688"/>
      </c:barChart>
      <c:catAx>
        <c:axId val="158284416"/>
        <c:scaling>
          <c:orientation val="maxMin"/>
        </c:scaling>
        <c:delete val="0"/>
        <c:axPos val="l"/>
        <c:numFmt formatCode="General" sourceLinked="1"/>
        <c:majorTickMark val="cross"/>
        <c:minorTickMark val="none"/>
        <c:tickLblPos val="low"/>
        <c:txPr>
          <a:bodyPr/>
          <a:lstStyle/>
          <a:p>
            <a:pPr>
              <a:defRPr sz="800"/>
            </a:pPr>
            <a:endParaRPr lang="en-US"/>
          </a:p>
        </c:txPr>
        <c:crossAx val="158306688"/>
        <c:crosses val="autoZero"/>
        <c:auto val="1"/>
        <c:lblAlgn val="ctr"/>
        <c:lblOffset val="100"/>
        <c:noMultiLvlLbl val="0"/>
      </c:catAx>
      <c:valAx>
        <c:axId val="158306688"/>
        <c:scaling>
          <c:orientation val="minMax"/>
          <c:max val="10000000"/>
          <c:min val="-20000000"/>
        </c:scaling>
        <c:delete val="0"/>
        <c:axPos val="t"/>
        <c:majorGridlines>
          <c:spPr>
            <a:ln w="6350">
              <a:solidFill>
                <a:schemeClr val="bg1">
                  <a:lumMod val="85000"/>
                </a:schemeClr>
              </a:solidFill>
            </a:ln>
          </c:spPr>
        </c:majorGridlines>
        <c:numFmt formatCode="0,," sourceLinked="0"/>
        <c:majorTickMark val="out"/>
        <c:minorTickMark val="none"/>
        <c:tickLblPos val="high"/>
        <c:spPr>
          <a:ln>
            <a:noFill/>
          </a:ln>
        </c:spPr>
        <c:txPr>
          <a:bodyPr/>
          <a:lstStyle/>
          <a:p>
            <a:pPr>
              <a:defRPr sz="800"/>
            </a:pPr>
            <a:endParaRPr lang="en-US"/>
          </a:p>
        </c:txPr>
        <c:crossAx val="1582844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719300144300143"/>
          <c:y val="3.7209298691639019E-2"/>
          <c:w val="0.59370382395382393"/>
          <c:h val="0.9105695503319734"/>
        </c:manualLayout>
      </c:layout>
      <c:barChart>
        <c:barDir val="bar"/>
        <c:grouping val="clustered"/>
        <c:varyColors val="0"/>
        <c:ser>
          <c:idx val="0"/>
          <c:order val="0"/>
          <c:spPr>
            <a:solidFill>
              <a:srgbClr val="3E8A92"/>
            </a:solidFill>
          </c:spPr>
          <c:invertIfNegative val="0"/>
          <c:cat>
            <c:strRef>
              <c:f>Charts!$AD$5:$AD$20</c:f>
              <c:strCache>
                <c:ptCount val="16"/>
                <c:pt idx="0">
                  <c:v>Vector Lines</c:v>
                </c:pt>
                <c:pt idx="1">
                  <c:v>Eastland Network</c:v>
                </c:pt>
                <c:pt idx="2">
                  <c:v>Horizon Energy</c:v>
                </c:pt>
                <c:pt idx="3">
                  <c:v>Nelson Electricity</c:v>
                </c:pt>
                <c:pt idx="4">
                  <c:v>Electricity Invercargill</c:v>
                </c:pt>
                <c:pt idx="5">
                  <c:v>Aurora Energy</c:v>
                </c:pt>
                <c:pt idx="6">
                  <c:v>OtagoNet</c:v>
                </c:pt>
                <c:pt idx="7">
                  <c:v>Powerco</c:v>
                </c:pt>
                <c:pt idx="8">
                  <c:v>Electricity Ashburton</c:v>
                </c:pt>
                <c:pt idx="9">
                  <c:v>Centralines</c:v>
                </c:pt>
                <c:pt idx="10">
                  <c:v>Network Tasman</c:v>
                </c:pt>
                <c:pt idx="11">
                  <c:v>Wellington Electricity</c:v>
                </c:pt>
                <c:pt idx="12">
                  <c:v>The Lines Company</c:v>
                </c:pt>
                <c:pt idx="13">
                  <c:v>Top Energy</c:v>
                </c:pt>
                <c:pt idx="14">
                  <c:v>Unison Networks</c:v>
                </c:pt>
                <c:pt idx="15">
                  <c:v>Alpine Energy</c:v>
                </c:pt>
              </c:strCache>
            </c:strRef>
          </c:cat>
          <c:val>
            <c:numRef>
              <c:f>Charts!$AE$5:$AE$20</c:f>
              <c:numCache>
                <c:formatCode>General</c:formatCode>
                <c:ptCount val="16"/>
                <c:pt idx="0">
                  <c:v>-112.59687241699497</c:v>
                </c:pt>
                <c:pt idx="1">
                  <c:v>-2.9352178529449162</c:v>
                </c:pt>
                <c:pt idx="2">
                  <c:v>-1.798886653317898</c:v>
                </c:pt>
                <c:pt idx="3">
                  <c:v>-0.29954067972759474</c:v>
                </c:pt>
                <c:pt idx="4">
                  <c:v>0.91339164993396593</c:v>
                </c:pt>
                <c:pt idx="5">
                  <c:v>1.7970122375772426</c:v>
                </c:pt>
                <c:pt idx="6">
                  <c:v>3.0134708528188439</c:v>
                </c:pt>
                <c:pt idx="7">
                  <c:v>3.6930647482522962</c:v>
                </c:pt>
                <c:pt idx="8">
                  <c:v>4.85770631575084</c:v>
                </c:pt>
                <c:pt idx="9">
                  <c:v>5.6662398423706328</c:v>
                </c:pt>
                <c:pt idx="10">
                  <c:v>7.3246335261945514</c:v>
                </c:pt>
                <c:pt idx="11">
                  <c:v>7.6288981894832792</c:v>
                </c:pt>
                <c:pt idx="12">
                  <c:v>10.475384435603303</c:v>
                </c:pt>
                <c:pt idx="13">
                  <c:v>19.349048907536496</c:v>
                </c:pt>
                <c:pt idx="14">
                  <c:v>29.816206405167488</c:v>
                </c:pt>
                <c:pt idx="15">
                  <c:v>33.976590189999683</c:v>
                </c:pt>
              </c:numCache>
            </c:numRef>
          </c:val>
        </c:ser>
        <c:dLbls>
          <c:showLegendKey val="0"/>
          <c:showVal val="0"/>
          <c:showCatName val="0"/>
          <c:showSerName val="0"/>
          <c:showPercent val="0"/>
          <c:showBubbleSize val="0"/>
        </c:dLbls>
        <c:gapWidth val="121"/>
        <c:axId val="158317952"/>
        <c:axId val="158332032"/>
      </c:barChart>
      <c:catAx>
        <c:axId val="158317952"/>
        <c:scaling>
          <c:orientation val="maxMin"/>
        </c:scaling>
        <c:delete val="0"/>
        <c:axPos val="l"/>
        <c:numFmt formatCode="General" sourceLinked="1"/>
        <c:majorTickMark val="cross"/>
        <c:minorTickMark val="none"/>
        <c:tickLblPos val="low"/>
        <c:txPr>
          <a:bodyPr/>
          <a:lstStyle/>
          <a:p>
            <a:pPr>
              <a:defRPr sz="800"/>
            </a:pPr>
            <a:endParaRPr lang="en-US"/>
          </a:p>
        </c:txPr>
        <c:crossAx val="158332032"/>
        <c:crosses val="autoZero"/>
        <c:auto val="1"/>
        <c:lblAlgn val="ctr"/>
        <c:lblOffset val="100"/>
        <c:noMultiLvlLbl val="0"/>
      </c:catAx>
      <c:valAx>
        <c:axId val="158332032"/>
        <c:scaling>
          <c:orientation val="minMax"/>
        </c:scaling>
        <c:delete val="0"/>
        <c:axPos val="t"/>
        <c:majorGridlines>
          <c:spPr>
            <a:ln w="6350">
              <a:solidFill>
                <a:schemeClr val="bg1">
                  <a:lumMod val="85000"/>
                </a:schemeClr>
              </a:solidFill>
            </a:ln>
          </c:spPr>
        </c:majorGridlines>
        <c:numFmt formatCode="#,##0" sourceLinked="0"/>
        <c:majorTickMark val="out"/>
        <c:minorTickMark val="none"/>
        <c:tickLblPos val="high"/>
        <c:spPr>
          <a:ln>
            <a:noFill/>
          </a:ln>
        </c:spPr>
        <c:txPr>
          <a:bodyPr/>
          <a:lstStyle/>
          <a:p>
            <a:pPr>
              <a:defRPr sz="800"/>
            </a:pPr>
            <a:endParaRPr lang="en-US"/>
          </a:p>
        </c:txPr>
        <c:crossAx val="1583179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719300144300143"/>
          <c:y val="3.7209298691639019E-2"/>
          <c:w val="0.59370382395382393"/>
          <c:h val="0.9105695503319734"/>
        </c:manualLayout>
      </c:layout>
      <c:barChart>
        <c:barDir val="bar"/>
        <c:grouping val="clustered"/>
        <c:varyColors val="0"/>
        <c:ser>
          <c:idx val="0"/>
          <c:order val="0"/>
          <c:spPr>
            <a:solidFill>
              <a:srgbClr val="3E8A92"/>
            </a:solidFill>
          </c:spPr>
          <c:invertIfNegative val="0"/>
          <c:cat>
            <c:strRef>
              <c:f>Charts!$AL$5:$AL$20</c:f>
              <c:strCache>
                <c:ptCount val="16"/>
                <c:pt idx="0">
                  <c:v>Aurora Energy</c:v>
                </c:pt>
                <c:pt idx="1">
                  <c:v>Wellington Electricity</c:v>
                </c:pt>
                <c:pt idx="2">
                  <c:v>Top Energy</c:v>
                </c:pt>
                <c:pt idx="3">
                  <c:v>Nelson Electricity</c:v>
                </c:pt>
                <c:pt idx="4">
                  <c:v>Vector Lines</c:v>
                </c:pt>
                <c:pt idx="5">
                  <c:v>Electricity Invercargill</c:v>
                </c:pt>
                <c:pt idx="6">
                  <c:v>Powerco</c:v>
                </c:pt>
                <c:pt idx="7">
                  <c:v>Eastland Network</c:v>
                </c:pt>
                <c:pt idx="8">
                  <c:v>Unison Networks</c:v>
                </c:pt>
                <c:pt idx="9">
                  <c:v>Centralines</c:v>
                </c:pt>
                <c:pt idx="10">
                  <c:v>OtagoNet</c:v>
                </c:pt>
                <c:pt idx="11">
                  <c:v>Network Tasman</c:v>
                </c:pt>
                <c:pt idx="12">
                  <c:v>Horizon Energy</c:v>
                </c:pt>
                <c:pt idx="13">
                  <c:v>Electricity Ashburton</c:v>
                </c:pt>
                <c:pt idx="14">
                  <c:v>Alpine Energy</c:v>
                </c:pt>
                <c:pt idx="15">
                  <c:v>The Lines Company</c:v>
                </c:pt>
              </c:strCache>
            </c:strRef>
          </c:cat>
          <c:val>
            <c:numRef>
              <c:f>Charts!$AM$5:$AM$20</c:f>
              <c:numCache>
                <c:formatCode>_(* #,##0.00%_);_(* \(#,##0.00%\);_(* "–"???_);_(* @_)</c:formatCode>
                <c:ptCount val="16"/>
                <c:pt idx="0">
                  <c:v>-4.452483272801349E-2</c:v>
                </c:pt>
                <c:pt idx="1">
                  <c:v>-4.1578613119866742E-2</c:v>
                </c:pt>
                <c:pt idx="2">
                  <c:v>-3.5724698420110668E-2</c:v>
                </c:pt>
                <c:pt idx="3">
                  <c:v>-3.2616732610228079E-2</c:v>
                </c:pt>
                <c:pt idx="4">
                  <c:v>-3.0250292198132439E-2</c:v>
                </c:pt>
                <c:pt idx="5">
                  <c:v>-2.2396349696528754E-2</c:v>
                </c:pt>
                <c:pt idx="6">
                  <c:v>-2.0238679355019974E-2</c:v>
                </c:pt>
                <c:pt idx="7">
                  <c:v>-9.5466850901752293E-3</c:v>
                </c:pt>
                <c:pt idx="8">
                  <c:v>-3.8153168318568196E-3</c:v>
                </c:pt>
                <c:pt idx="9">
                  <c:v>-3.0003383813477736E-3</c:v>
                </c:pt>
                <c:pt idx="10">
                  <c:v>2.2176317810002785E-4</c:v>
                </c:pt>
                <c:pt idx="11">
                  <c:v>7.6539962367588163E-3</c:v>
                </c:pt>
                <c:pt idx="12">
                  <c:v>1.1969239571169622E-2</c:v>
                </c:pt>
                <c:pt idx="13">
                  <c:v>3.4248199849110955E-2</c:v>
                </c:pt>
                <c:pt idx="14">
                  <c:v>4.5039390352736956E-2</c:v>
                </c:pt>
                <c:pt idx="15">
                  <c:v>7.3116771493658778E-2</c:v>
                </c:pt>
              </c:numCache>
            </c:numRef>
          </c:val>
        </c:ser>
        <c:dLbls>
          <c:showLegendKey val="0"/>
          <c:showVal val="0"/>
          <c:showCatName val="0"/>
          <c:showSerName val="0"/>
          <c:showPercent val="0"/>
          <c:showBubbleSize val="0"/>
        </c:dLbls>
        <c:gapWidth val="121"/>
        <c:axId val="158229632"/>
        <c:axId val="158231168"/>
      </c:barChart>
      <c:catAx>
        <c:axId val="158229632"/>
        <c:scaling>
          <c:orientation val="maxMin"/>
        </c:scaling>
        <c:delete val="0"/>
        <c:axPos val="l"/>
        <c:numFmt formatCode="General" sourceLinked="1"/>
        <c:majorTickMark val="cross"/>
        <c:minorTickMark val="none"/>
        <c:tickLblPos val="low"/>
        <c:txPr>
          <a:bodyPr/>
          <a:lstStyle/>
          <a:p>
            <a:pPr>
              <a:defRPr sz="800"/>
            </a:pPr>
            <a:endParaRPr lang="en-US"/>
          </a:p>
        </c:txPr>
        <c:crossAx val="158231168"/>
        <c:crosses val="autoZero"/>
        <c:auto val="1"/>
        <c:lblAlgn val="ctr"/>
        <c:lblOffset val="100"/>
        <c:noMultiLvlLbl val="0"/>
      </c:catAx>
      <c:valAx>
        <c:axId val="158231168"/>
        <c:scaling>
          <c:orientation val="minMax"/>
        </c:scaling>
        <c:delete val="0"/>
        <c:axPos val="t"/>
        <c:majorGridlines>
          <c:spPr>
            <a:ln w="6350">
              <a:solidFill>
                <a:schemeClr val="bg1">
                  <a:lumMod val="85000"/>
                </a:schemeClr>
              </a:solidFill>
            </a:ln>
          </c:spPr>
        </c:majorGridlines>
        <c:numFmt formatCode="0%" sourceLinked="0"/>
        <c:majorTickMark val="out"/>
        <c:minorTickMark val="none"/>
        <c:tickLblPos val="high"/>
        <c:spPr>
          <a:ln>
            <a:noFill/>
          </a:ln>
        </c:spPr>
        <c:txPr>
          <a:bodyPr/>
          <a:lstStyle/>
          <a:p>
            <a:pPr>
              <a:defRPr sz="800"/>
            </a:pPr>
            <a:endParaRPr lang="en-US"/>
          </a:p>
        </c:txPr>
        <c:crossAx val="15822963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2209800</xdr:rowOff>
    </xdr:from>
    <xdr:to>
      <xdr:col>4</xdr:col>
      <xdr:colOff>0</xdr:colOff>
      <xdr:row>14</xdr:row>
      <xdr:rowOff>95250</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00300"/>
          <a:ext cx="8982075" cy="329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1</xdr:row>
      <xdr:rowOff>38100</xdr:rowOff>
    </xdr:from>
    <xdr:to>
      <xdr:col>1</xdr:col>
      <xdr:colOff>1216152</xdr:colOff>
      <xdr:row>1</xdr:row>
      <xdr:rowOff>888492</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28600"/>
          <a:ext cx="2816352" cy="8503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4</xdr:col>
      <xdr:colOff>21025</xdr:colOff>
      <xdr:row>50</xdr:row>
      <xdr:rowOff>175846</xdr:rowOff>
    </xdr:to>
    <xdr:grpSp>
      <xdr:nvGrpSpPr>
        <xdr:cNvPr id="2" name="Group 1"/>
        <xdr:cNvGrpSpPr/>
      </xdr:nvGrpSpPr>
      <xdr:grpSpPr>
        <a:xfrm>
          <a:off x="180975" y="8486775"/>
          <a:ext cx="11289100" cy="5128846"/>
          <a:chOff x="527538" y="4125058"/>
          <a:chExt cx="11290789" cy="5128846"/>
        </a:xfrm>
      </xdr:grpSpPr>
      <xdr:sp macro="" textlink="">
        <xdr:nvSpPr>
          <xdr:cNvPr id="3" name="Rounded Rectangle 2"/>
          <xdr:cNvSpPr/>
        </xdr:nvSpPr>
        <xdr:spPr>
          <a:xfrm>
            <a:off x="753207" y="5886450"/>
            <a:ext cx="2924175" cy="1181100"/>
          </a:xfrm>
          <a:prstGeom prst="roundRect">
            <a:avLst/>
          </a:prstGeom>
          <a:ln>
            <a:solidFill>
              <a:schemeClr val="accent5"/>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noAutofit/>
          </a:bodyPr>
          <a:lstStyle/>
          <a:p>
            <a:pPr algn="l"/>
            <a:r>
              <a:rPr lang="en-NZ" sz="2800"/>
              <a:t>DPP Model</a:t>
            </a:r>
          </a:p>
        </xdr:txBody>
      </xdr:sp>
      <xdr:sp macro="" textlink="">
        <xdr:nvSpPr>
          <xdr:cNvPr id="4" name="Rounded Rectangle 3"/>
          <xdr:cNvSpPr/>
        </xdr:nvSpPr>
        <xdr:spPr>
          <a:xfrm>
            <a:off x="3596420" y="7924800"/>
            <a:ext cx="2924175" cy="1181100"/>
          </a:xfrm>
          <a:prstGeom prst="roundRect">
            <a:avLst/>
          </a:prstGeom>
          <a:ln>
            <a:solidFill>
              <a:schemeClr val="accent5"/>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noAutofit/>
          </a:bodyPr>
          <a:lstStyle/>
          <a:p>
            <a:pPr algn="l"/>
            <a:r>
              <a:rPr lang="en-NZ" sz="2800">
                <a:solidFill>
                  <a:sysClr val="windowText" lastClr="000000"/>
                </a:solidFill>
              </a:rPr>
              <a:t>IRR Model</a:t>
            </a:r>
          </a:p>
        </xdr:txBody>
      </xdr:sp>
      <xdr:sp macro="" textlink="">
        <xdr:nvSpPr>
          <xdr:cNvPr id="5" name="Rounded Rectangle 4"/>
          <xdr:cNvSpPr/>
        </xdr:nvSpPr>
        <xdr:spPr>
          <a:xfrm>
            <a:off x="6382482" y="5886450"/>
            <a:ext cx="2924175" cy="1181100"/>
          </a:xfrm>
          <a:prstGeom prst="roundRect">
            <a:avLst/>
          </a:prstGeom>
          <a:ln>
            <a:solidFill>
              <a:schemeClr val="accent5"/>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noAutofit/>
          </a:bodyPr>
          <a:lstStyle/>
          <a:p>
            <a:pPr algn="l"/>
            <a:r>
              <a:rPr lang="en-NZ" sz="2800">
                <a:solidFill>
                  <a:schemeClr val="bg2"/>
                </a:solidFill>
              </a:rPr>
              <a:t>Revenue Model</a:t>
            </a:r>
          </a:p>
        </xdr:txBody>
      </xdr:sp>
      <xdr:sp macro="" textlink="">
        <xdr:nvSpPr>
          <xdr:cNvPr id="6" name="Bent Arrow 5"/>
          <xdr:cNvSpPr/>
        </xdr:nvSpPr>
        <xdr:spPr>
          <a:xfrm rot="16200000" flipH="1" flipV="1">
            <a:off x="8166038" y="3269457"/>
            <a:ext cx="981075" cy="3671887"/>
          </a:xfrm>
          <a:prstGeom prst="bentArrow">
            <a:avLst/>
          </a:prstGeom>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chemeClr val="tx1"/>
              </a:solidFill>
            </a:endParaRPr>
          </a:p>
        </xdr:txBody>
      </xdr:sp>
      <xdr:sp macro="" textlink="">
        <xdr:nvSpPr>
          <xdr:cNvPr id="7" name="Rounded Rectangle 6"/>
          <xdr:cNvSpPr/>
        </xdr:nvSpPr>
        <xdr:spPr>
          <a:xfrm>
            <a:off x="3596420" y="4286250"/>
            <a:ext cx="2924175" cy="1181100"/>
          </a:xfrm>
          <a:prstGeom prst="roundRect">
            <a:avLst/>
          </a:prstGeom>
          <a:ln>
            <a:solidFill>
              <a:schemeClr val="accent5"/>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noAutofit/>
          </a:bodyPr>
          <a:lstStyle/>
          <a:p>
            <a:pPr algn="l"/>
            <a:r>
              <a:rPr lang="en-NZ" sz="2800"/>
              <a:t>ID Disclosures</a:t>
            </a:r>
          </a:p>
        </xdr:txBody>
      </xdr:sp>
      <xdr:sp macro="" textlink="">
        <xdr:nvSpPr>
          <xdr:cNvPr id="8" name="Rounded Rectangle 7"/>
          <xdr:cNvSpPr/>
        </xdr:nvSpPr>
        <xdr:spPr>
          <a:xfrm>
            <a:off x="8763732" y="7924800"/>
            <a:ext cx="2924175" cy="1181100"/>
          </a:xfrm>
          <a:prstGeom prst="roundRect">
            <a:avLst/>
          </a:prstGeom>
          <a:ln>
            <a:solidFill>
              <a:schemeClr val="accent5"/>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noAutofit/>
          </a:bodyPr>
          <a:lstStyle/>
          <a:p>
            <a:pPr algn="l"/>
            <a:r>
              <a:rPr lang="en-NZ" sz="2800"/>
              <a:t>Revaluation Model</a:t>
            </a:r>
          </a:p>
        </xdr:txBody>
      </xdr:sp>
      <xdr:sp macro="" textlink="">
        <xdr:nvSpPr>
          <xdr:cNvPr id="9" name="Bent Arrow 8"/>
          <xdr:cNvSpPr/>
        </xdr:nvSpPr>
        <xdr:spPr>
          <a:xfrm rot="16200000" flipH="1">
            <a:off x="2222440" y="4445795"/>
            <a:ext cx="981075" cy="1319211"/>
          </a:xfrm>
          <a:prstGeom prst="bentArrow">
            <a:avLst/>
          </a:prstGeom>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chemeClr val="tx1"/>
              </a:solidFill>
            </a:endParaRPr>
          </a:p>
        </xdr:txBody>
      </xdr:sp>
      <xdr:sp macro="" textlink="">
        <xdr:nvSpPr>
          <xdr:cNvPr id="10" name="Bent Arrow 9"/>
          <xdr:cNvSpPr/>
        </xdr:nvSpPr>
        <xdr:spPr>
          <a:xfrm rot="16200000" flipH="1" flipV="1">
            <a:off x="6975412" y="4488660"/>
            <a:ext cx="981075" cy="1252535"/>
          </a:xfrm>
          <a:prstGeom prst="bentArrow">
            <a:avLst/>
          </a:prstGeom>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chemeClr val="tx1"/>
              </a:solidFill>
            </a:endParaRPr>
          </a:p>
        </xdr:txBody>
      </xdr:sp>
      <xdr:sp macro="" textlink="">
        <xdr:nvSpPr>
          <xdr:cNvPr id="11" name="Bent Arrow 10"/>
          <xdr:cNvSpPr/>
        </xdr:nvSpPr>
        <xdr:spPr>
          <a:xfrm rot="10800000" flipH="1">
            <a:off x="2222440" y="7427120"/>
            <a:ext cx="981075" cy="1319211"/>
          </a:xfrm>
          <a:prstGeom prst="bentArrow">
            <a:avLst/>
          </a:prstGeom>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chemeClr val="tx1"/>
              </a:solidFill>
            </a:endParaRPr>
          </a:p>
        </xdr:txBody>
      </xdr:sp>
      <xdr:sp macro="" textlink="">
        <xdr:nvSpPr>
          <xdr:cNvPr id="12" name="Right Arrow 11"/>
          <xdr:cNvSpPr/>
        </xdr:nvSpPr>
        <xdr:spPr>
          <a:xfrm rot="10800000">
            <a:off x="7011277" y="8228012"/>
            <a:ext cx="1561956" cy="498476"/>
          </a:xfrm>
          <a:prstGeom prst="rightArrow">
            <a:avLst/>
          </a:prstGeom>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sp macro="" textlink="">
        <xdr:nvSpPr>
          <xdr:cNvPr id="13" name="Right Arrow 12"/>
          <xdr:cNvSpPr/>
        </xdr:nvSpPr>
        <xdr:spPr>
          <a:xfrm rot="5400000">
            <a:off x="3839452" y="6561137"/>
            <a:ext cx="2130136" cy="498476"/>
          </a:xfrm>
          <a:prstGeom prst="rightArrow">
            <a:avLst/>
          </a:prstGeom>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sp macro="" textlink="">
        <xdr:nvSpPr>
          <xdr:cNvPr id="14" name="Bent Arrow 13"/>
          <xdr:cNvSpPr/>
        </xdr:nvSpPr>
        <xdr:spPr>
          <a:xfrm rot="10800000">
            <a:off x="7013515" y="7389020"/>
            <a:ext cx="981075" cy="1319211"/>
          </a:xfrm>
          <a:prstGeom prst="bentArrow">
            <a:avLst/>
          </a:prstGeom>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chemeClr val="tx1"/>
              </a:solidFill>
            </a:endParaRPr>
          </a:p>
        </xdr:txBody>
      </xdr:sp>
      <xdr:sp macro="" textlink="">
        <xdr:nvSpPr>
          <xdr:cNvPr id="15" name="TextBox 14"/>
          <xdr:cNvSpPr txBox="1"/>
        </xdr:nvSpPr>
        <xdr:spPr>
          <a:xfrm>
            <a:off x="8001733" y="7383340"/>
            <a:ext cx="1120243" cy="264560"/>
          </a:xfrm>
          <a:prstGeom prst="rect">
            <a:avLst/>
          </a:prstGeom>
          <a:noFill/>
          <a:ln>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100"/>
              <a:t>Scenarios 11–23</a:t>
            </a:r>
          </a:p>
        </xdr:txBody>
      </xdr:sp>
      <xdr:sp macro="" textlink="">
        <xdr:nvSpPr>
          <xdr:cNvPr id="16" name="TextBox 15"/>
          <xdr:cNvSpPr txBox="1"/>
        </xdr:nvSpPr>
        <xdr:spPr>
          <a:xfrm>
            <a:off x="7789983" y="8598877"/>
            <a:ext cx="780342" cy="264560"/>
          </a:xfrm>
          <a:prstGeom prst="rect">
            <a:avLst/>
          </a:prstGeom>
          <a:noFill/>
          <a:ln>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100"/>
              <a:t>Scenario 9</a:t>
            </a:r>
          </a:p>
        </xdr:txBody>
      </xdr:sp>
      <xdr:sp macro="" textlink="">
        <xdr:nvSpPr>
          <xdr:cNvPr id="17" name="TextBox 16"/>
          <xdr:cNvSpPr txBox="1"/>
        </xdr:nvSpPr>
        <xdr:spPr>
          <a:xfrm>
            <a:off x="5032131" y="7200900"/>
            <a:ext cx="1394164" cy="264560"/>
          </a:xfrm>
          <a:prstGeom prst="rect">
            <a:avLst/>
          </a:prstGeom>
          <a:noFill/>
          <a:ln>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100"/>
              <a:t>Scenarios 3, 6, 10, 24</a:t>
            </a:r>
          </a:p>
        </xdr:txBody>
      </xdr:sp>
      <xdr:sp macro="" textlink="">
        <xdr:nvSpPr>
          <xdr:cNvPr id="18" name="TextBox 17"/>
          <xdr:cNvSpPr txBox="1"/>
        </xdr:nvSpPr>
        <xdr:spPr>
          <a:xfrm>
            <a:off x="8963758" y="4347064"/>
            <a:ext cx="780342" cy="264560"/>
          </a:xfrm>
          <a:prstGeom prst="rect">
            <a:avLst/>
          </a:prstGeom>
          <a:noFill/>
          <a:ln>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100"/>
              <a:t>Scenario 9</a:t>
            </a:r>
          </a:p>
        </xdr:txBody>
      </xdr:sp>
      <xdr:sp macro="" textlink="">
        <xdr:nvSpPr>
          <xdr:cNvPr id="19" name="TextBox 18"/>
          <xdr:cNvSpPr txBox="1"/>
        </xdr:nvSpPr>
        <xdr:spPr>
          <a:xfrm>
            <a:off x="7968029" y="5049715"/>
            <a:ext cx="1120243" cy="264560"/>
          </a:xfrm>
          <a:prstGeom prst="rect">
            <a:avLst/>
          </a:prstGeom>
          <a:noFill/>
          <a:ln>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100"/>
              <a:t>Scenarios 11–23</a:t>
            </a:r>
          </a:p>
        </xdr:txBody>
      </xdr:sp>
      <xdr:sp macro="" textlink="">
        <xdr:nvSpPr>
          <xdr:cNvPr id="20" name="TextBox 19"/>
          <xdr:cNvSpPr txBox="1"/>
        </xdr:nvSpPr>
        <xdr:spPr>
          <a:xfrm>
            <a:off x="696058" y="7419975"/>
            <a:ext cx="1528303" cy="264560"/>
          </a:xfrm>
          <a:prstGeom prst="rect">
            <a:avLst/>
          </a:prstGeom>
          <a:noFill/>
          <a:ln>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100"/>
              <a:t>Scenarios 1, 2, 4, 5, 7, 8</a:t>
            </a:r>
          </a:p>
        </xdr:txBody>
      </xdr:sp>
      <xdr:sp macro="" textlink="">
        <xdr:nvSpPr>
          <xdr:cNvPr id="21" name="TextBox 20"/>
          <xdr:cNvSpPr txBox="1"/>
        </xdr:nvSpPr>
        <xdr:spPr>
          <a:xfrm>
            <a:off x="1850779" y="4347064"/>
            <a:ext cx="1528303" cy="264560"/>
          </a:xfrm>
          <a:prstGeom prst="rect">
            <a:avLst/>
          </a:prstGeom>
          <a:noFill/>
          <a:ln>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100"/>
              <a:t>Scenarios 1, 2, 4, 7, 8</a:t>
            </a:r>
          </a:p>
        </xdr:txBody>
      </xdr:sp>
      <xdr:sp macro="" textlink="">
        <xdr:nvSpPr>
          <xdr:cNvPr id="22" name="Rectangle 21"/>
          <xdr:cNvSpPr/>
        </xdr:nvSpPr>
        <xdr:spPr>
          <a:xfrm>
            <a:off x="527538" y="4125058"/>
            <a:ext cx="11290789" cy="5128846"/>
          </a:xfrm>
          <a:prstGeom prst="rect">
            <a:avLst/>
          </a:prstGeom>
          <a:no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sp macro="" textlink="">
        <xdr:nvSpPr>
          <xdr:cNvPr id="23" name="Down Arrow Callout 22"/>
          <xdr:cNvSpPr/>
        </xdr:nvSpPr>
        <xdr:spPr>
          <a:xfrm>
            <a:off x="674078" y="4659924"/>
            <a:ext cx="1333499" cy="1106366"/>
          </a:xfrm>
          <a:prstGeom prst="downArrowCallout">
            <a:avLst>
              <a:gd name="adj1" fmla="val 24834"/>
              <a:gd name="adj2" fmla="val 23013"/>
              <a:gd name="adj3" fmla="val 25000"/>
              <a:gd name="adj4" fmla="val 57692"/>
            </a:avLst>
          </a:prstGeom>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NZ" sz="1100">
              <a:solidFill>
                <a:schemeClr val="tx1"/>
              </a:solidFill>
              <a:latin typeface="+mn-lt"/>
              <a:ea typeface="+mn-ea"/>
              <a:cs typeface="+mn-cs"/>
            </a:endParaRPr>
          </a:p>
        </xdr:txBody>
      </xdr:sp>
      <xdr:sp macro="" textlink="">
        <xdr:nvSpPr>
          <xdr:cNvPr id="24" name="Text Box 1"/>
          <xdr:cNvSpPr txBox="1">
            <a:spLocks noChangeArrowheads="1"/>
          </xdr:cNvSpPr>
        </xdr:nvSpPr>
        <xdr:spPr bwMode="auto">
          <a:xfrm>
            <a:off x="681403" y="4667249"/>
            <a:ext cx="1311520" cy="622789"/>
          </a:xfrm>
          <a:prstGeom prst="rect">
            <a:avLst/>
          </a:prstGeom>
          <a:noFill/>
          <a:ln w="9525">
            <a:solidFill>
              <a:srgbClr val="000000"/>
            </a:solidFill>
            <a:miter lim="800000"/>
            <a:headEnd/>
            <a:tailEnd/>
          </a:ln>
        </xdr:spPr>
        <xdr:txBody>
          <a:bodyPr vertOverflow="clip" wrap="square" lIns="36576" tIns="32004" rIns="0" bIns="0" anchor="t" upright="1"/>
          <a:lstStyle/>
          <a:p>
            <a:pPr algn="ctr" rtl="0">
              <a:lnSpc>
                <a:spcPts val="1100"/>
              </a:lnSpc>
              <a:defRPr sz="1000"/>
            </a:pPr>
            <a:r>
              <a:rPr lang="en-NZ" sz="1100" b="0" i="0" u="none" strike="noStrike" baseline="0">
                <a:solidFill>
                  <a:srgbClr val="000000"/>
                </a:solidFill>
                <a:latin typeface="Calibri"/>
              </a:rPr>
              <a:t>Capex &amp; opex allowances recalculated using actual price inflators</a:t>
            </a:r>
          </a:p>
        </xdr:txBody>
      </xdr:sp>
      <xdr:sp macro="" textlink="">
        <xdr:nvSpPr>
          <xdr:cNvPr id="25" name="TextBox 24"/>
          <xdr:cNvSpPr txBox="1"/>
        </xdr:nvSpPr>
        <xdr:spPr>
          <a:xfrm>
            <a:off x="564174" y="5298097"/>
            <a:ext cx="505558" cy="504825"/>
          </a:xfrm>
          <a:prstGeom prst="rect">
            <a:avLst/>
          </a:prstGeom>
          <a:noFill/>
          <a:ln>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horzOverflow="clip" wrap="none" lIns="54000" rIns="54000" rtlCol="0" anchor="t">
            <a:noAutofit/>
          </a:bodyPr>
          <a:lstStyle/>
          <a:p>
            <a:pPr algn="ctr"/>
            <a:r>
              <a:rPr lang="en-NZ" sz="1100"/>
              <a:t>Scenario</a:t>
            </a:r>
          </a:p>
          <a:p>
            <a:pPr algn="ctr"/>
            <a:r>
              <a:rPr lang="en-NZ" sz="1100"/>
              <a:t>5</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21</xdr:row>
      <xdr:rowOff>109537</xdr:rowOff>
    </xdr:from>
    <xdr:to>
      <xdr:col>3</xdr:col>
      <xdr:colOff>161925</xdr:colOff>
      <xdr:row>41</xdr:row>
      <xdr:rowOff>79537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133350</xdr:colOff>
      <xdr:row>21</xdr:row>
      <xdr:rowOff>123825</xdr:rowOff>
    </xdr:from>
    <xdr:to>
      <xdr:col>9</xdr:col>
      <xdr:colOff>457425</xdr:colOff>
      <xdr:row>41</xdr:row>
      <xdr:rowOff>77100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22</xdr:row>
      <xdr:rowOff>0</xdr:rowOff>
    </xdr:from>
    <xdr:to>
      <xdr:col>16</xdr:col>
      <xdr:colOff>9750</xdr:colOff>
      <xdr:row>41</xdr:row>
      <xdr:rowOff>143775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22</xdr:row>
      <xdr:rowOff>0</xdr:rowOff>
    </xdr:from>
    <xdr:to>
      <xdr:col>22</xdr:col>
      <xdr:colOff>752700</xdr:colOff>
      <xdr:row>41</xdr:row>
      <xdr:rowOff>143775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0</xdr:colOff>
      <xdr:row>22</xdr:row>
      <xdr:rowOff>0</xdr:rowOff>
    </xdr:from>
    <xdr:to>
      <xdr:col>30</xdr:col>
      <xdr:colOff>9750</xdr:colOff>
      <xdr:row>41</xdr:row>
      <xdr:rowOff>143775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0</xdr:colOff>
      <xdr:row>22</xdr:row>
      <xdr:rowOff>0</xdr:rowOff>
    </xdr:from>
    <xdr:to>
      <xdr:col>37</xdr:col>
      <xdr:colOff>752700</xdr:colOff>
      <xdr:row>41</xdr:row>
      <xdr:rowOff>143775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73818_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72418_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73818_10"/>
      <sheetName val="Calculation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Description"/>
      <sheetName val="Table of Contents"/>
      <sheetName val="Inputs"/>
      <sheetName val="Selection"/>
      <sheetName val="Calculation"/>
      <sheetName val="Outputs"/>
    </sheetNames>
    <sheetDataSet>
      <sheetData sheetId="0"/>
      <sheetData sheetId="1"/>
      <sheetData sheetId="2"/>
      <sheetData sheetId="3"/>
      <sheetData sheetId="4">
        <row r="5">
          <cell r="C5" t="str">
            <v>Alpine Energy</v>
          </cell>
        </row>
      </sheetData>
      <sheetData sheetId="5"/>
      <sheetData sheetId="6"/>
    </sheetDataSet>
  </externalBook>
</externalLink>
</file>

<file path=xl/theme/theme1.xml><?xml version="1.0" encoding="utf-8"?>
<a:theme xmlns:a="http://schemas.openxmlformats.org/drawingml/2006/main" name="Commission Bronze">
  <a:themeElements>
    <a:clrScheme name="Office">
      <a:dk1>
        <a:srgbClr val="000000"/>
      </a:dk1>
      <a:lt1>
        <a:srgbClr val="FFFFFF"/>
      </a:lt1>
      <a:dk2>
        <a:srgbClr val="F9F9F5"/>
      </a:dk2>
      <a:lt2>
        <a:srgbClr val="C00000"/>
      </a:lt2>
      <a:accent1>
        <a:srgbClr val="EAE8DA"/>
      </a:accent1>
      <a:accent2>
        <a:srgbClr val="D7D3BB"/>
      </a:accent2>
      <a:accent3>
        <a:srgbClr val="C9C4A3"/>
      </a:accent3>
      <a:accent4>
        <a:srgbClr val="B0A978"/>
      </a:accent4>
      <a:accent5>
        <a:srgbClr val="968F58"/>
      </a:accent5>
      <a:accent6>
        <a:srgbClr val="645F3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4"/>
    <pageSetUpPr fitToPage="1"/>
  </sheetPr>
  <dimension ref="A1:D18"/>
  <sheetViews>
    <sheetView showGridLines="0" tabSelected="1" view="pageBreakPreview" zoomScaleSheetLayoutView="100" workbookViewId="0"/>
  </sheetViews>
  <sheetFormatPr defaultColWidth="8.85546875" defaultRowHeight="15" x14ac:dyDescent="0.25"/>
  <cols>
    <col min="1" max="1" width="26.42578125" style="1" customWidth="1"/>
    <col min="2" max="2" width="43.140625" style="1" customWidth="1"/>
    <col min="3" max="3" width="32.7109375" style="1" customWidth="1"/>
    <col min="4" max="4" width="32.28515625" style="1" customWidth="1"/>
    <col min="5" max="16384" width="8.85546875" style="1"/>
  </cols>
  <sheetData>
    <row r="1" spans="1:4" ht="15" customHeight="1" x14ac:dyDescent="0.2">
      <c r="A1" s="45"/>
      <c r="B1" s="46"/>
      <c r="C1" s="46"/>
      <c r="D1" s="47"/>
    </row>
    <row r="2" spans="1:4" ht="189" customHeight="1" x14ac:dyDescent="0.2">
      <c r="A2" s="48"/>
      <c r="B2" s="49"/>
      <c r="C2" s="49"/>
      <c r="D2" s="50"/>
    </row>
    <row r="3" spans="1:4" ht="22.5" customHeight="1" x14ac:dyDescent="0.25">
      <c r="A3" s="51" t="s">
        <v>5</v>
      </c>
      <c r="B3" s="52"/>
      <c r="C3" s="52"/>
      <c r="D3" s="53"/>
    </row>
    <row r="4" spans="1:4" ht="22.5" customHeight="1" x14ac:dyDescent="0.3">
      <c r="A4" s="51" t="s">
        <v>62</v>
      </c>
      <c r="B4" s="52"/>
      <c r="C4" s="52"/>
      <c r="D4" s="53"/>
    </row>
    <row r="5" spans="1:4" ht="22.5" customHeight="1" x14ac:dyDescent="0.25">
      <c r="A5" s="51" t="s">
        <v>213</v>
      </c>
      <c r="B5" s="52"/>
      <c r="C5" s="52"/>
      <c r="D5" s="53"/>
    </row>
    <row r="6" spans="1:4" ht="22.5" customHeight="1" x14ac:dyDescent="0.25">
      <c r="A6" s="51"/>
      <c r="B6" s="52"/>
      <c r="C6" s="52"/>
      <c r="D6" s="53"/>
    </row>
    <row r="7" spans="1:4" ht="42" customHeight="1" x14ac:dyDescent="0.2">
      <c r="A7" s="48"/>
      <c r="B7" s="49"/>
      <c r="C7" s="49"/>
      <c r="D7" s="50"/>
    </row>
    <row r="8" spans="1:4" ht="15" customHeight="1" x14ac:dyDescent="0.25">
      <c r="A8" s="48"/>
      <c r="B8" s="54"/>
      <c r="C8" s="54"/>
      <c r="D8" s="55"/>
    </row>
    <row r="9" spans="1:4" ht="15" customHeight="1" x14ac:dyDescent="0.25">
      <c r="A9" s="48"/>
      <c r="B9" s="54"/>
      <c r="C9" s="54"/>
      <c r="D9" s="50"/>
    </row>
    <row r="10" spans="1:4" ht="15" customHeight="1" x14ac:dyDescent="0.25">
      <c r="A10" s="48"/>
      <c r="B10" s="54"/>
      <c r="C10" s="54"/>
      <c r="D10" s="50"/>
    </row>
    <row r="11" spans="1:4" ht="15" customHeight="1" x14ac:dyDescent="0.25">
      <c r="A11" s="48"/>
      <c r="B11" s="54"/>
      <c r="C11" s="54"/>
      <c r="D11" s="50"/>
    </row>
    <row r="12" spans="1:4" ht="15" customHeight="1" x14ac:dyDescent="0.25">
      <c r="A12" s="48"/>
      <c r="B12" s="54"/>
      <c r="C12" s="54"/>
      <c r="D12" s="55"/>
    </row>
    <row r="13" spans="1:4" ht="15" customHeight="1" x14ac:dyDescent="0.25">
      <c r="A13" s="48"/>
      <c r="B13" s="54"/>
      <c r="C13" s="54"/>
      <c r="D13" s="55"/>
    </row>
    <row r="14" spans="1:4" ht="15" customHeight="1" x14ac:dyDescent="0.25">
      <c r="A14" s="48"/>
      <c r="B14" s="54"/>
      <c r="C14" s="54"/>
      <c r="D14" s="50"/>
    </row>
    <row r="15" spans="1:4" ht="15" customHeight="1" x14ac:dyDescent="0.25">
      <c r="A15" s="48"/>
      <c r="B15" s="54"/>
      <c r="C15" s="54"/>
      <c r="D15" s="50"/>
    </row>
    <row r="16" spans="1:4" ht="15" customHeight="1" x14ac:dyDescent="0.25">
      <c r="A16" s="48"/>
      <c r="B16" s="54"/>
      <c r="C16" s="54"/>
      <c r="D16" s="50"/>
    </row>
    <row r="17" spans="1:4" ht="15" customHeight="1" x14ac:dyDescent="0.25">
      <c r="A17" s="56" t="s">
        <v>287</v>
      </c>
      <c r="B17" s="52"/>
      <c r="C17" s="52"/>
      <c r="D17" s="53"/>
    </row>
    <row r="18" spans="1:4" ht="15" customHeight="1" x14ac:dyDescent="0.25">
      <c r="A18" s="57"/>
      <c r="B18" s="58"/>
      <c r="C18" s="58"/>
      <c r="D18" s="59"/>
    </row>
  </sheetData>
  <sheetProtection formatColumns="0" formatRows="0"/>
  <pageMargins left="0.70866141732283472" right="0.70866141732283472" top="0.74803149606299213" bottom="0.74803149606299213" header="0.31496062992125984" footer="0.31496062992125984"/>
  <pageSetup paperSize="9" scale="97" fitToHeight="0" orientation="landscape" r:id="rId1"/>
  <headerFooter>
    <oddFooter>&amp;L&amp;F&amp;C&amp;A&amp;R&amp;P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4"/>
    <pageSetUpPr fitToPage="1"/>
  </sheetPr>
  <dimension ref="A1:E52"/>
  <sheetViews>
    <sheetView showGridLines="0" view="pageBreakPreview" zoomScaleSheetLayoutView="100" workbookViewId="0"/>
  </sheetViews>
  <sheetFormatPr defaultColWidth="8.85546875" defaultRowHeight="15" x14ac:dyDescent="0.25"/>
  <cols>
    <col min="1" max="1" width="2.7109375" customWidth="1"/>
    <col min="2" max="2" width="12.7109375" customWidth="1"/>
    <col min="3" max="3" width="40.5703125" customWidth="1"/>
    <col min="4" max="4" width="115.7109375" customWidth="1"/>
    <col min="5" max="5" width="2.7109375" customWidth="1"/>
  </cols>
  <sheetData>
    <row r="1" spans="1:5" ht="26.25" customHeight="1" x14ac:dyDescent="0.25">
      <c r="A1" s="122" t="s">
        <v>0</v>
      </c>
      <c r="B1" s="2"/>
      <c r="C1" s="2"/>
      <c r="D1" s="2"/>
      <c r="E1" s="2"/>
    </row>
    <row r="2" spans="1:5" x14ac:dyDescent="0.25">
      <c r="A2" s="2"/>
      <c r="B2" s="2"/>
      <c r="C2" s="2"/>
      <c r="D2" s="2"/>
      <c r="E2" s="2"/>
    </row>
    <row r="3" spans="1:5" ht="39.950000000000003" customHeight="1" x14ac:dyDescent="0.35">
      <c r="A3" s="2"/>
      <c r="B3" s="9" t="s">
        <v>4</v>
      </c>
      <c r="C3" s="9"/>
      <c r="D3" s="9"/>
      <c r="E3" s="2"/>
    </row>
    <row r="4" spans="1:5" ht="43.5" customHeight="1" x14ac:dyDescent="0.25">
      <c r="A4" s="2"/>
      <c r="B4" s="191" t="s">
        <v>265</v>
      </c>
      <c r="C4" s="191"/>
      <c r="D4" s="191"/>
      <c r="E4" s="2"/>
    </row>
    <row r="5" spans="1:5" ht="22.5" customHeight="1" x14ac:dyDescent="0.25">
      <c r="A5" s="2"/>
      <c r="B5" s="192" t="s">
        <v>275</v>
      </c>
      <c r="C5" s="192"/>
      <c r="D5" s="192"/>
      <c r="E5" s="2"/>
    </row>
    <row r="6" spans="1:5" ht="26.25" x14ac:dyDescent="0.25">
      <c r="A6" s="2"/>
      <c r="B6" s="188" t="s">
        <v>255</v>
      </c>
      <c r="C6" s="188" t="s">
        <v>256</v>
      </c>
      <c r="D6" s="188" t="s">
        <v>257</v>
      </c>
      <c r="E6" s="2"/>
    </row>
    <row r="7" spans="1:5" ht="30" x14ac:dyDescent="0.25">
      <c r="A7" s="2"/>
      <c r="B7" s="169">
        <v>11</v>
      </c>
      <c r="C7" s="189" t="s">
        <v>271</v>
      </c>
      <c r="D7" s="190" t="s">
        <v>289</v>
      </c>
      <c r="E7" s="2"/>
    </row>
    <row r="8" spans="1:5" ht="45" x14ac:dyDescent="0.25">
      <c r="A8" s="2"/>
      <c r="B8" s="169">
        <v>12</v>
      </c>
      <c r="C8" s="189" t="s">
        <v>272</v>
      </c>
      <c r="D8" s="190" t="s">
        <v>290</v>
      </c>
      <c r="E8" s="2"/>
    </row>
    <row r="9" spans="1:5" ht="30" x14ac:dyDescent="0.25">
      <c r="A9" s="2"/>
      <c r="B9" s="169">
        <v>13</v>
      </c>
      <c r="C9" s="189" t="s">
        <v>297</v>
      </c>
      <c r="D9" s="190" t="s">
        <v>263</v>
      </c>
      <c r="E9" s="2"/>
    </row>
    <row r="10" spans="1:5" x14ac:dyDescent="0.25">
      <c r="A10" s="2"/>
      <c r="B10" s="169">
        <v>14</v>
      </c>
      <c r="C10" s="189" t="s">
        <v>298</v>
      </c>
      <c r="D10" s="190" t="s">
        <v>264</v>
      </c>
      <c r="E10" s="2"/>
    </row>
    <row r="11" spans="1:5" ht="30" x14ac:dyDescent="0.25">
      <c r="A11" s="2"/>
      <c r="B11" s="169">
        <v>15</v>
      </c>
      <c r="C11" s="189" t="s">
        <v>299</v>
      </c>
      <c r="D11" s="189" t="s">
        <v>266</v>
      </c>
      <c r="E11" s="2"/>
    </row>
    <row r="12" spans="1:5" ht="30" x14ac:dyDescent="0.25">
      <c r="A12" s="2"/>
      <c r="B12" s="169">
        <v>16</v>
      </c>
      <c r="C12" s="189" t="s">
        <v>185</v>
      </c>
      <c r="D12" s="190" t="s">
        <v>270</v>
      </c>
      <c r="E12" s="2"/>
    </row>
    <row r="13" spans="1:5" x14ac:dyDescent="0.25">
      <c r="A13" s="2"/>
      <c r="B13" s="169">
        <v>17</v>
      </c>
      <c r="C13" s="189" t="s">
        <v>108</v>
      </c>
      <c r="D13" s="190" t="s">
        <v>258</v>
      </c>
      <c r="E13" s="2"/>
    </row>
    <row r="14" spans="1:5" ht="30" x14ac:dyDescent="0.25">
      <c r="A14" s="2"/>
      <c r="B14" s="169">
        <v>18</v>
      </c>
      <c r="C14" s="189" t="s">
        <v>186</v>
      </c>
      <c r="D14" s="190" t="s">
        <v>268</v>
      </c>
      <c r="E14" s="2"/>
    </row>
    <row r="15" spans="1:5" ht="30" x14ac:dyDescent="0.25">
      <c r="A15" s="2"/>
      <c r="B15" s="169">
        <v>19</v>
      </c>
      <c r="C15" s="189" t="s">
        <v>187</v>
      </c>
      <c r="D15" s="190" t="s">
        <v>269</v>
      </c>
      <c r="E15" s="2"/>
    </row>
    <row r="16" spans="1:5" x14ac:dyDescent="0.25">
      <c r="A16" s="2"/>
      <c r="B16" s="169">
        <v>20</v>
      </c>
      <c r="C16" s="189" t="s">
        <v>188</v>
      </c>
      <c r="D16" s="190" t="s">
        <v>267</v>
      </c>
      <c r="E16" s="2"/>
    </row>
    <row r="17" spans="1:5" x14ac:dyDescent="0.25">
      <c r="A17" s="2"/>
      <c r="B17" s="169">
        <v>21</v>
      </c>
      <c r="C17" s="189" t="s">
        <v>300</v>
      </c>
      <c r="D17" s="190" t="s">
        <v>259</v>
      </c>
      <c r="E17" s="2"/>
    </row>
    <row r="18" spans="1:5" x14ac:dyDescent="0.25">
      <c r="A18" s="2"/>
      <c r="B18" s="169">
        <v>22</v>
      </c>
      <c r="C18" s="189" t="s">
        <v>191</v>
      </c>
      <c r="D18" s="190" t="s">
        <v>260</v>
      </c>
      <c r="E18" s="2"/>
    </row>
    <row r="19" spans="1:5" x14ac:dyDescent="0.25">
      <c r="A19" s="2"/>
      <c r="B19" s="169">
        <v>23</v>
      </c>
      <c r="C19" s="190" t="s">
        <v>261</v>
      </c>
      <c r="D19" s="190" t="s">
        <v>262</v>
      </c>
      <c r="E19" s="2"/>
    </row>
    <row r="20" spans="1:5" ht="50.1" customHeight="1" x14ac:dyDescent="0.35">
      <c r="A20" s="2"/>
      <c r="B20" s="9" t="s">
        <v>273</v>
      </c>
      <c r="C20" s="150"/>
      <c r="D20" s="150"/>
      <c r="E20" s="150"/>
    </row>
    <row r="21" spans="1:5" ht="22.5" customHeight="1" x14ac:dyDescent="0.25">
      <c r="A21" s="2"/>
      <c r="B21" s="192" t="s">
        <v>274</v>
      </c>
      <c r="C21" s="192"/>
      <c r="D21" s="192"/>
      <c r="E21" s="2"/>
    </row>
    <row r="22" spans="1:5" ht="43.5" customHeight="1" x14ac:dyDescent="0.25">
      <c r="A22" s="2"/>
      <c r="B22" s="191" t="s">
        <v>276</v>
      </c>
      <c r="C22" s="191"/>
      <c r="D22" s="191"/>
      <c r="E22" s="2"/>
    </row>
    <row r="23" spans="1:5" ht="50.1" customHeight="1" x14ac:dyDescent="0.35">
      <c r="A23" s="2"/>
      <c r="B23" s="9" t="s">
        <v>254</v>
      </c>
      <c r="C23" s="9"/>
      <c r="D23" s="150"/>
      <c r="E23" s="150"/>
    </row>
    <row r="24" spans="1:5" x14ac:dyDescent="0.25">
      <c r="A24" s="2"/>
      <c r="B24" s="2"/>
      <c r="C24" s="2"/>
      <c r="D24" s="2"/>
      <c r="E24" s="2"/>
    </row>
    <row r="25" spans="1:5" x14ac:dyDescent="0.25">
      <c r="A25" s="2"/>
      <c r="B25" s="2"/>
      <c r="C25" s="2"/>
      <c r="D25" s="2"/>
      <c r="E25" s="2"/>
    </row>
    <row r="26" spans="1:5" x14ac:dyDescent="0.25">
      <c r="A26" s="2"/>
      <c r="B26" s="2"/>
      <c r="C26" s="2"/>
      <c r="D26" s="2"/>
      <c r="E26" s="2"/>
    </row>
    <row r="27" spans="1:5" x14ac:dyDescent="0.25">
      <c r="A27" s="2"/>
      <c r="B27" s="2"/>
      <c r="C27" s="2"/>
      <c r="D27" s="2"/>
      <c r="E27" s="2"/>
    </row>
    <row r="28" spans="1:5" x14ac:dyDescent="0.25">
      <c r="A28" s="2"/>
      <c r="B28" s="2"/>
      <c r="C28" s="2"/>
      <c r="D28" s="2"/>
      <c r="E28" s="2"/>
    </row>
    <row r="29" spans="1:5" x14ac:dyDescent="0.25">
      <c r="A29" s="2"/>
      <c r="B29" s="2"/>
      <c r="C29" s="2"/>
      <c r="D29" s="2"/>
      <c r="E29" s="2"/>
    </row>
    <row r="30" spans="1:5" x14ac:dyDescent="0.25">
      <c r="A30" s="2"/>
      <c r="B30" s="2"/>
      <c r="C30" s="2"/>
      <c r="D30" s="2"/>
      <c r="E30" s="2"/>
    </row>
    <row r="31" spans="1:5" x14ac:dyDescent="0.25">
      <c r="A31" s="2"/>
      <c r="B31" s="2"/>
      <c r="C31" s="2"/>
      <c r="D31" s="2"/>
      <c r="E31" s="2"/>
    </row>
    <row r="32" spans="1:5" x14ac:dyDescent="0.25">
      <c r="A32" s="2"/>
      <c r="B32" s="2"/>
      <c r="C32" s="2"/>
      <c r="D32" s="2"/>
      <c r="E32" s="2"/>
    </row>
    <row r="33" spans="1:5" x14ac:dyDescent="0.25">
      <c r="A33" s="2"/>
      <c r="B33" s="2"/>
      <c r="C33" s="2"/>
      <c r="D33" s="2"/>
      <c r="E33" s="2"/>
    </row>
    <row r="34" spans="1:5" x14ac:dyDescent="0.25">
      <c r="A34" s="2"/>
      <c r="B34" s="2"/>
      <c r="C34" s="2"/>
      <c r="D34" s="2"/>
      <c r="E34" s="2"/>
    </row>
    <row r="35" spans="1:5" x14ac:dyDescent="0.25">
      <c r="A35" s="2"/>
      <c r="B35" s="2"/>
      <c r="C35" s="2"/>
      <c r="D35" s="2"/>
      <c r="E35" s="2"/>
    </row>
    <row r="36" spans="1:5" x14ac:dyDescent="0.25">
      <c r="A36" s="2"/>
      <c r="B36" s="2"/>
      <c r="C36" s="2"/>
      <c r="D36" s="2"/>
      <c r="E36" s="2"/>
    </row>
    <row r="37" spans="1:5" x14ac:dyDescent="0.25">
      <c r="A37" s="2"/>
      <c r="B37" s="2"/>
      <c r="C37" s="2"/>
      <c r="D37" s="2"/>
      <c r="E37" s="2"/>
    </row>
    <row r="38" spans="1:5" x14ac:dyDescent="0.25">
      <c r="A38" s="2"/>
      <c r="B38" s="2"/>
      <c r="C38" s="2"/>
      <c r="D38" s="2"/>
      <c r="E38" s="2"/>
    </row>
    <row r="39" spans="1:5" x14ac:dyDescent="0.25">
      <c r="A39" s="2"/>
      <c r="B39" s="2"/>
      <c r="C39" s="2"/>
      <c r="D39" s="2"/>
      <c r="E39" s="2"/>
    </row>
    <row r="40" spans="1:5" x14ac:dyDescent="0.25">
      <c r="A40" s="2"/>
      <c r="B40" s="2"/>
      <c r="C40" s="2"/>
      <c r="D40" s="2"/>
      <c r="E40" s="2"/>
    </row>
    <row r="41" spans="1:5" x14ac:dyDescent="0.25">
      <c r="A41" s="2"/>
      <c r="B41" s="2"/>
      <c r="C41" s="2"/>
      <c r="D41" s="2"/>
      <c r="E41" s="2"/>
    </row>
    <row r="42" spans="1:5" x14ac:dyDescent="0.25">
      <c r="A42" s="2"/>
      <c r="B42" s="2"/>
      <c r="C42" s="2"/>
      <c r="D42" s="2"/>
      <c r="E42" s="2"/>
    </row>
    <row r="43" spans="1:5" x14ac:dyDescent="0.25">
      <c r="A43" s="2"/>
      <c r="B43" s="2"/>
      <c r="C43" s="2"/>
      <c r="D43" s="2"/>
      <c r="E43" s="2"/>
    </row>
    <row r="44" spans="1:5" x14ac:dyDescent="0.25">
      <c r="A44" s="2"/>
      <c r="B44" s="2"/>
      <c r="C44" s="2"/>
      <c r="D44" s="2"/>
      <c r="E44" s="2"/>
    </row>
    <row r="45" spans="1:5" x14ac:dyDescent="0.25">
      <c r="A45" s="2"/>
      <c r="B45" s="2"/>
      <c r="C45" s="2"/>
      <c r="D45" s="2"/>
      <c r="E45" s="2"/>
    </row>
    <row r="46" spans="1:5" x14ac:dyDescent="0.25">
      <c r="A46" s="2"/>
      <c r="B46" s="2"/>
      <c r="C46" s="2"/>
      <c r="D46" s="2"/>
      <c r="E46" s="2"/>
    </row>
    <row r="47" spans="1:5" x14ac:dyDescent="0.25">
      <c r="A47" s="2"/>
      <c r="B47" s="2"/>
      <c r="C47" s="2"/>
      <c r="D47" s="2"/>
      <c r="E47" s="2"/>
    </row>
    <row r="48" spans="1:5" x14ac:dyDescent="0.25">
      <c r="A48" s="2"/>
      <c r="B48" s="2"/>
      <c r="C48" s="2"/>
      <c r="D48" s="2"/>
      <c r="E48" s="2"/>
    </row>
    <row r="49" spans="1:5" x14ac:dyDescent="0.25">
      <c r="A49" s="2"/>
      <c r="B49" s="2"/>
      <c r="C49" s="2"/>
      <c r="D49" s="2"/>
      <c r="E49" s="2"/>
    </row>
    <row r="50" spans="1:5" x14ac:dyDescent="0.25">
      <c r="A50" s="2"/>
      <c r="B50" s="2"/>
      <c r="C50" s="2"/>
      <c r="D50" s="2"/>
      <c r="E50" s="2"/>
    </row>
    <row r="51" spans="1:5" x14ac:dyDescent="0.25">
      <c r="A51" s="2"/>
      <c r="B51" s="2"/>
      <c r="C51" s="2"/>
      <c r="D51" s="2"/>
      <c r="E51" s="2"/>
    </row>
    <row r="52" spans="1:5" x14ac:dyDescent="0.25">
      <c r="A52" s="2"/>
      <c r="B52" s="2"/>
      <c r="C52" s="2"/>
      <c r="D52" s="2"/>
      <c r="E52" s="2"/>
    </row>
  </sheetData>
  <sheetProtection formatColumns="0" formatRows="0"/>
  <mergeCells count="4">
    <mergeCell ref="B4:D4"/>
    <mergeCell ref="B5:D5"/>
    <mergeCell ref="B21:D21"/>
    <mergeCell ref="B22:D22"/>
  </mergeCells>
  <pageMargins left="0.70866141732283472" right="0.70866141732283472" top="0.74803149606299213" bottom="0.74803149606299213" header="0.31496062992125984" footer="0.31496062992125984"/>
  <pageSetup paperSize="9" scale="50" fitToHeight="0" orientation="portrait" r:id="rId1"/>
  <headerFooter>
    <oddFooter>&amp;L&amp;F&amp;C&amp;A&amp;R&amp;P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4"/>
    <pageSetUpPr fitToPage="1"/>
  </sheetPr>
  <dimension ref="A1:D20"/>
  <sheetViews>
    <sheetView showGridLines="0" view="pageBreakPreview" zoomScaleSheetLayoutView="100" workbookViewId="0"/>
  </sheetViews>
  <sheetFormatPr defaultColWidth="8.85546875" defaultRowHeight="15" x14ac:dyDescent="0.25"/>
  <cols>
    <col min="2" max="2" width="19.85546875" customWidth="1"/>
    <col min="3" max="3" width="95.28515625" customWidth="1"/>
  </cols>
  <sheetData>
    <row r="1" spans="1:4" s="1" customFormat="1" ht="26.25" customHeight="1" x14ac:dyDescent="0.25">
      <c r="A1" s="122" t="s">
        <v>1</v>
      </c>
      <c r="B1" s="2"/>
      <c r="C1" s="2"/>
      <c r="D1" s="2"/>
    </row>
    <row r="2" spans="1:4" s="1" customFormat="1" x14ac:dyDescent="0.25">
      <c r="A2" s="2"/>
      <c r="B2" s="2"/>
      <c r="C2" s="2"/>
      <c r="D2" s="2"/>
    </row>
    <row r="3" spans="1:4" s="1" customFormat="1" ht="15.75" thickBot="1" x14ac:dyDescent="0.3">
      <c r="A3" s="2"/>
      <c r="B3" s="2"/>
      <c r="C3" s="2"/>
      <c r="D3" s="2"/>
    </row>
    <row r="4" spans="1:4" s="1" customFormat="1" ht="15.75" x14ac:dyDescent="0.25">
      <c r="A4" s="2"/>
      <c r="B4" s="3" t="s">
        <v>2</v>
      </c>
      <c r="C4" s="4" t="s">
        <v>3</v>
      </c>
      <c r="D4" s="2"/>
    </row>
    <row r="5" spans="1:4" s="1" customFormat="1" x14ac:dyDescent="0.25">
      <c r="A5" s="2"/>
      <c r="B5" s="5" t="s">
        <v>63</v>
      </c>
      <c r="C5" s="6" t="s">
        <v>59</v>
      </c>
      <c r="D5" s="2"/>
    </row>
    <row r="6" spans="1:4" s="1" customFormat="1" x14ac:dyDescent="0.25">
      <c r="A6" s="2"/>
      <c r="B6" s="7" t="s">
        <v>288</v>
      </c>
      <c r="C6" s="8" t="s">
        <v>74</v>
      </c>
      <c r="D6" s="2"/>
    </row>
    <row r="7" spans="1:4" s="1" customFormat="1" x14ac:dyDescent="0.25">
      <c r="A7" s="2"/>
      <c r="B7" s="5" t="s">
        <v>164</v>
      </c>
      <c r="C7" s="6" t="s">
        <v>164</v>
      </c>
      <c r="D7" s="2"/>
    </row>
    <row r="8" spans="1:4" s="1" customFormat="1" x14ac:dyDescent="0.25">
      <c r="A8" s="2"/>
      <c r="B8" s="69"/>
      <c r="C8" s="133" t="s">
        <v>165</v>
      </c>
      <c r="D8" s="2"/>
    </row>
    <row r="9" spans="1:4" s="1" customFormat="1" x14ac:dyDescent="0.25">
      <c r="A9" s="2"/>
      <c r="B9" s="69"/>
      <c r="C9" s="133" t="s">
        <v>164</v>
      </c>
      <c r="D9" s="2"/>
    </row>
    <row r="10" spans="1:4" s="1" customFormat="1" x14ac:dyDescent="0.25">
      <c r="A10" s="2"/>
      <c r="B10" s="69"/>
      <c r="C10" s="133" t="s">
        <v>174</v>
      </c>
      <c r="D10" s="2"/>
    </row>
    <row r="11" spans="1:4" s="1" customFormat="1" x14ac:dyDescent="0.25">
      <c r="A11" s="2"/>
      <c r="B11" s="7" t="s">
        <v>64</v>
      </c>
      <c r="C11" s="8" t="s">
        <v>130</v>
      </c>
      <c r="D11" s="2"/>
    </row>
    <row r="12" spans="1:4" s="1" customFormat="1" x14ac:dyDescent="0.25">
      <c r="A12" s="2"/>
      <c r="B12" s="167"/>
      <c r="C12" s="168" t="s">
        <v>239</v>
      </c>
      <c r="D12" s="2"/>
    </row>
    <row r="13" spans="1:4" s="1" customFormat="1" x14ac:dyDescent="0.25">
      <c r="A13" s="2"/>
      <c r="B13" s="167"/>
      <c r="C13" s="168" t="s">
        <v>234</v>
      </c>
      <c r="D13" s="2"/>
    </row>
    <row r="14" spans="1:4" s="1" customFormat="1" x14ac:dyDescent="0.25">
      <c r="A14" s="2"/>
      <c r="B14" s="167"/>
      <c r="C14" s="168" t="s">
        <v>295</v>
      </c>
      <c r="D14" s="2"/>
    </row>
    <row r="15" spans="1:4" s="1" customFormat="1" x14ac:dyDescent="0.25">
      <c r="A15" s="2"/>
      <c r="B15" s="167"/>
      <c r="C15" s="168" t="s">
        <v>214</v>
      </c>
      <c r="D15" s="2"/>
    </row>
    <row r="16" spans="1:4" s="1" customFormat="1" x14ac:dyDescent="0.25">
      <c r="A16" s="2"/>
      <c r="B16" s="167"/>
      <c r="C16" s="168" t="s">
        <v>245</v>
      </c>
      <c r="D16" s="2"/>
    </row>
    <row r="17" spans="1:4" s="1" customFormat="1" x14ac:dyDescent="0.25">
      <c r="A17" s="2"/>
      <c r="B17" s="5" t="s">
        <v>296</v>
      </c>
      <c r="C17" s="6" t="s">
        <v>66</v>
      </c>
      <c r="D17" s="2"/>
    </row>
    <row r="18" spans="1:4" s="1" customFormat="1" ht="15.75" thickBot="1" x14ac:dyDescent="0.3">
      <c r="A18" s="2"/>
      <c r="B18" s="186" t="s">
        <v>238</v>
      </c>
      <c r="C18" s="187" t="s">
        <v>126</v>
      </c>
      <c r="D18" s="2"/>
    </row>
    <row r="19" spans="1:4" s="2" customFormat="1" x14ac:dyDescent="0.25">
      <c r="B19"/>
      <c r="C19"/>
    </row>
    <row r="20" spans="1:4" s="2" customFormat="1" x14ac:dyDescent="0.25">
      <c r="B20"/>
      <c r="C20"/>
    </row>
  </sheetData>
  <sheetProtection formatColumns="0" formatRows="0"/>
  <hyperlinks>
    <hyperlink ref="C5" location="'Data'!$A$1" tooltip="Section title. Click once to follow" display="Input Data"/>
    <hyperlink ref="C6" location="'Selection'!$A$1" tooltip="Section title. Click once to follow" display="EDB Selection"/>
    <hyperlink ref="C7" location="'Calculations'!$A$1" tooltip="Section title. Click once to follow" display="Calculations"/>
    <hyperlink ref="C8" location="'Calculations'!$A$3" tooltip="Section subtitle. Click once to follow" display="Inputs"/>
    <hyperlink ref="C9" location="'Calculations'!$A$43" tooltip="Section subtitle. Click once to follow" display="Calculations"/>
    <hyperlink ref="C10" location="'Calculations'!$A$210" tooltip="Section subtitle. Click once to follow" display="Outputs"/>
    <hyperlink ref="C11" location="'Output'!$A$1" tooltip="Section title. Click once to follow" display="Output table"/>
    <hyperlink ref="C12" location="'Output'!$A$6" tooltip="Section subtitle. Click once to follow" display="Impact on revenue (IRR model inputs)"/>
    <hyperlink ref="C13" location="'Output'!$A$42" tooltip="Section subtitle. Click once to follow" display="Revenue sequence"/>
    <hyperlink ref="C14" location="'Output'!$A$85" tooltip="Section subtitle. Click once to follow" display="Reset vs. no reset"/>
    <hyperlink ref="C15" location="'Output'!$A$91" tooltip="Section subtitle. Click once to follow" display="Constant price revenue growth"/>
    <hyperlink ref="C16" location="'Output'!$A$97" tooltip="Section subtitle. Click once to follow" display="Other outputs"/>
    <hyperlink ref="C17" location="'5 YEAR CPRG'!$A$1" tooltip="Section title. Click once to follow" display="Achievable revenue if prices not reset in 2012"/>
    <hyperlink ref="C18" location="'Charts'!$A$1" tooltip="Section title. Click once to follow" display="Data and graphs for report"/>
  </hyperlinks>
  <pageMargins left="0.70866141732283472" right="0.70866141732283472" top="0.74803149606299213" bottom="0.74803149606299213" header="0.31496062992125984" footer="0.31496062992125984"/>
  <pageSetup paperSize="9" scale="98" fitToHeight="0" orientation="landscape" r:id="rId1"/>
  <headerFooter>
    <oddFooter>&amp;L&amp;F&amp;C&amp;A&amp;R&amp;P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rgb="FFD97E55"/>
    <pageSetUpPr fitToPage="1"/>
  </sheetPr>
  <dimension ref="A1:X98"/>
  <sheetViews>
    <sheetView showGridLines="0" view="pageBreakPreview" zoomScaleSheetLayoutView="100" workbookViewId="0"/>
  </sheetViews>
  <sheetFormatPr defaultColWidth="12.42578125" defaultRowHeight="15" x14ac:dyDescent="0.25"/>
  <cols>
    <col min="1" max="1" width="101" customWidth="1"/>
    <col min="2" max="2" width="12.42578125" customWidth="1"/>
    <col min="3" max="3" width="12.7109375" bestFit="1" customWidth="1"/>
    <col min="4" max="4" width="13" bestFit="1" customWidth="1"/>
    <col min="5" max="21" width="13.140625" customWidth="1"/>
    <col min="22" max="22" width="27.42578125" customWidth="1"/>
    <col min="23" max="23" width="2.7109375" customWidth="1"/>
    <col min="24" max="24" width="12.42578125" customWidth="1"/>
  </cols>
  <sheetData>
    <row r="1" spans="1:24" s="11" customFormat="1" ht="26.25" customHeight="1" x14ac:dyDescent="0.25">
      <c r="A1" s="89" t="s">
        <v>59</v>
      </c>
    </row>
    <row r="2" spans="1:24" s="11" customFormat="1" x14ac:dyDescent="0.25">
      <c r="A2" s="180" t="s">
        <v>78</v>
      </c>
    </row>
    <row r="3" spans="1:24" s="11" customFormat="1" x14ac:dyDescent="0.25">
      <c r="A3" s="181"/>
      <c r="D3" s="12"/>
      <c r="F3" s="12"/>
      <c r="G3" s="12"/>
    </row>
    <row r="4" spans="1:24" s="11" customFormat="1" ht="26.25" x14ac:dyDescent="0.25">
      <c r="A4" s="44" t="s">
        <v>61</v>
      </c>
      <c r="B4" s="33" t="s">
        <v>75</v>
      </c>
      <c r="C4" s="33" t="s">
        <v>21</v>
      </c>
      <c r="D4" s="33" t="s">
        <v>26</v>
      </c>
      <c r="E4" s="16" t="s">
        <v>216</v>
      </c>
      <c r="F4" s="16" t="s">
        <v>25</v>
      </c>
      <c r="G4" s="16" t="s">
        <v>217</v>
      </c>
      <c r="H4" s="16" t="s">
        <v>243</v>
      </c>
      <c r="I4" s="16" t="s">
        <v>24</v>
      </c>
      <c r="J4" s="16" t="s">
        <v>23</v>
      </c>
      <c r="K4" s="16" t="s">
        <v>218</v>
      </c>
      <c r="L4" s="16" t="s">
        <v>219</v>
      </c>
      <c r="M4" s="16" t="s">
        <v>220</v>
      </c>
      <c r="N4" s="16" t="s">
        <v>221</v>
      </c>
      <c r="O4" s="16" t="s">
        <v>222</v>
      </c>
      <c r="P4" s="16" t="s">
        <v>223</v>
      </c>
      <c r="Q4" s="16" t="s">
        <v>22</v>
      </c>
      <c r="R4" s="16" t="s">
        <v>224</v>
      </c>
      <c r="S4" s="16" t="s">
        <v>242</v>
      </c>
      <c r="T4" s="16" t="s">
        <v>244</v>
      </c>
      <c r="U4" s="16" t="s">
        <v>225</v>
      </c>
      <c r="V4" s="35" t="s">
        <v>82</v>
      </c>
    </row>
    <row r="5" spans="1:24" s="11" customFormat="1" x14ac:dyDescent="0.25">
      <c r="A5" s="41" t="s">
        <v>71</v>
      </c>
      <c r="B5" s="34"/>
      <c r="C5" s="34"/>
      <c r="D5" s="34"/>
      <c r="E5" s="94">
        <v>1</v>
      </c>
      <c r="F5" s="94">
        <v>2</v>
      </c>
      <c r="G5" s="94">
        <v>3</v>
      </c>
      <c r="H5" s="94">
        <v>4</v>
      </c>
      <c r="I5" s="94">
        <v>5</v>
      </c>
      <c r="J5" s="94">
        <v>6</v>
      </c>
      <c r="K5" s="94">
        <v>7</v>
      </c>
      <c r="L5" s="94">
        <v>8</v>
      </c>
      <c r="M5" s="94">
        <v>9</v>
      </c>
      <c r="N5" s="94">
        <v>10</v>
      </c>
      <c r="O5" s="94">
        <v>11</v>
      </c>
      <c r="P5" s="94">
        <v>12</v>
      </c>
      <c r="Q5" s="94">
        <v>13</v>
      </c>
      <c r="R5" s="94">
        <v>14</v>
      </c>
      <c r="S5" s="94">
        <v>15</v>
      </c>
      <c r="T5" s="94">
        <v>16</v>
      </c>
      <c r="U5" s="94">
        <v>17</v>
      </c>
      <c r="V5" s="66"/>
    </row>
    <row r="6" spans="1:24" s="11" customFormat="1" x14ac:dyDescent="0.25">
      <c r="A6" s="81" t="s">
        <v>159</v>
      </c>
      <c r="B6" s="96">
        <v>2011</v>
      </c>
      <c r="C6" s="43" t="s">
        <v>10</v>
      </c>
      <c r="D6" s="97">
        <v>0</v>
      </c>
      <c r="E6" s="95">
        <v>33178.281999999999</v>
      </c>
      <c r="F6" s="95">
        <v>72815</v>
      </c>
      <c r="G6" s="95">
        <v>9591</v>
      </c>
      <c r="H6" s="95">
        <v>29734</v>
      </c>
      <c r="I6" s="95">
        <v>29495</v>
      </c>
      <c r="J6" s="95">
        <v>16340</v>
      </c>
      <c r="K6" s="95">
        <v>27475.770820000002</v>
      </c>
      <c r="L6" s="95">
        <v>8833</v>
      </c>
      <c r="M6" s="95">
        <v>36248.727180000002</v>
      </c>
      <c r="N6" s="182">
        <v>0</v>
      </c>
      <c r="O6" s="95">
        <v>28440.376</v>
      </c>
      <c r="P6" s="95">
        <v>292668.7957794001</v>
      </c>
      <c r="Q6" s="95">
        <v>30653</v>
      </c>
      <c r="R6" s="95">
        <v>31490</v>
      </c>
      <c r="S6" s="95">
        <v>106080.15827999999</v>
      </c>
      <c r="T6" s="95">
        <v>552123</v>
      </c>
      <c r="U6" s="95">
        <v>148321.77981000001</v>
      </c>
      <c r="V6" s="67" t="s">
        <v>83</v>
      </c>
      <c r="X6" s="11" t="str">
        <f t="shared" ref="X6:X37" si="0">A6&amp;" "&amp;B6</f>
        <v>Actual total regulatory income (CP, intra year) 2011</v>
      </c>
    </row>
    <row r="7" spans="1:24" s="11" customFormat="1" x14ac:dyDescent="0.25">
      <c r="A7" s="41" t="str">
        <f>A6</f>
        <v>Actual total regulatory income (CP, intra year)</v>
      </c>
      <c r="B7" s="96">
        <v>2012</v>
      </c>
      <c r="C7" s="43" t="s">
        <v>10</v>
      </c>
      <c r="D7" s="97">
        <v>0</v>
      </c>
      <c r="E7" s="95">
        <v>33677.773299999993</v>
      </c>
      <c r="F7" s="95">
        <v>78487</v>
      </c>
      <c r="G7" s="95">
        <v>10008</v>
      </c>
      <c r="H7" s="95">
        <v>30158.900000000009</v>
      </c>
      <c r="I7" s="95">
        <v>29904.25</v>
      </c>
      <c r="J7" s="95">
        <v>16724.97961162508</v>
      </c>
      <c r="K7" s="95">
        <v>29031.367799999989</v>
      </c>
      <c r="L7" s="95">
        <v>9358.1238634112196</v>
      </c>
      <c r="M7" s="95">
        <v>36223</v>
      </c>
      <c r="N7" s="182">
        <v>206328.55541999999</v>
      </c>
      <c r="O7" s="95">
        <v>29636</v>
      </c>
      <c r="P7" s="95">
        <v>296648.18991790811</v>
      </c>
      <c r="Q7" s="95">
        <v>32990.765253688412</v>
      </c>
      <c r="R7" s="95">
        <v>34437.357985249029</v>
      </c>
      <c r="S7" s="95">
        <v>110311.38887</v>
      </c>
      <c r="T7" s="95">
        <v>564675</v>
      </c>
      <c r="U7" s="95">
        <v>152633.35616092541</v>
      </c>
      <c r="V7" s="67" t="s">
        <v>83</v>
      </c>
      <c r="X7" s="11" t="str">
        <f t="shared" si="0"/>
        <v>Actual total regulatory income (CP, intra year) 2012</v>
      </c>
    </row>
    <row r="8" spans="1:24" s="11" customFormat="1" x14ac:dyDescent="0.25">
      <c r="A8" s="41" t="str">
        <f t="shared" ref="A8:A10" si="1">A7</f>
        <v>Actual total regulatory income (CP, intra year)</v>
      </c>
      <c r="B8" s="96">
        <v>2013</v>
      </c>
      <c r="C8" s="43" t="s">
        <v>10</v>
      </c>
      <c r="D8" s="97">
        <v>0</v>
      </c>
      <c r="E8" s="95">
        <v>38362.652090000003</v>
      </c>
      <c r="F8" s="95">
        <v>87903</v>
      </c>
      <c r="G8" s="95">
        <v>10891.82450000175</v>
      </c>
      <c r="H8" s="95">
        <v>31871.650940034149</v>
      </c>
      <c r="I8" s="95">
        <v>33448.449812999992</v>
      </c>
      <c r="J8" s="95">
        <v>18223.798868138689</v>
      </c>
      <c r="K8" s="95">
        <v>30187.156729999999</v>
      </c>
      <c r="L8" s="95">
        <v>9814.0169999999998</v>
      </c>
      <c r="M8" s="95">
        <v>38776.80120444324</v>
      </c>
      <c r="N8" s="182">
        <v>208768.37355934089</v>
      </c>
      <c r="O8" s="95">
        <v>31903.520409560919</v>
      </c>
      <c r="P8" s="95">
        <v>323416.45313999988</v>
      </c>
      <c r="Q8" s="95">
        <v>34958.849586584984</v>
      </c>
      <c r="R8" s="95">
        <v>36706.285557111223</v>
      </c>
      <c r="S8" s="95">
        <v>119704.562760001</v>
      </c>
      <c r="T8" s="95">
        <v>610726</v>
      </c>
      <c r="U8" s="95">
        <v>160734.0171995128</v>
      </c>
      <c r="V8" s="67" t="s">
        <v>83</v>
      </c>
      <c r="X8" s="11" t="str">
        <f t="shared" si="0"/>
        <v>Actual total regulatory income (CP, intra year) 2013</v>
      </c>
    </row>
    <row r="9" spans="1:24" s="11" customFormat="1" x14ac:dyDescent="0.25">
      <c r="A9" s="41" t="str">
        <f t="shared" si="1"/>
        <v>Actual total regulatory income (CP, intra year)</v>
      </c>
      <c r="B9" s="96">
        <v>2014</v>
      </c>
      <c r="C9" s="43" t="s">
        <v>10</v>
      </c>
      <c r="D9" s="97">
        <v>0</v>
      </c>
      <c r="E9" s="95">
        <v>42220.542329999997</v>
      </c>
      <c r="F9" s="95">
        <v>85265</v>
      </c>
      <c r="G9" s="95">
        <v>11260.238009999999</v>
      </c>
      <c r="H9" s="95">
        <v>31855.269164501471</v>
      </c>
      <c r="I9" s="95">
        <v>37459.637058999993</v>
      </c>
      <c r="J9" s="95">
        <v>17821.67746448718</v>
      </c>
      <c r="K9" s="95">
        <v>30323.19917</v>
      </c>
      <c r="L9" s="95">
        <v>9863.1015124038622</v>
      </c>
      <c r="M9" s="95">
        <v>40122.167842839997</v>
      </c>
      <c r="N9" s="182">
        <v>210754.45471717621</v>
      </c>
      <c r="O9" s="95">
        <v>33249.079932824723</v>
      </c>
      <c r="P9" s="95">
        <v>338323.85570456699</v>
      </c>
      <c r="Q9" s="95">
        <v>37100.934190000044</v>
      </c>
      <c r="R9" s="95">
        <v>37136.392971006513</v>
      </c>
      <c r="S9" s="95">
        <v>124090.06741</v>
      </c>
      <c r="T9" s="95">
        <v>588136</v>
      </c>
      <c r="U9" s="95">
        <v>163771.9553778886</v>
      </c>
      <c r="V9" s="67" t="s">
        <v>83</v>
      </c>
      <c r="X9" s="11" t="str">
        <f t="shared" si="0"/>
        <v>Actual total regulatory income (CP, intra year) 2014</v>
      </c>
    </row>
    <row r="10" spans="1:24" s="11" customFormat="1" x14ac:dyDescent="0.25">
      <c r="A10" s="41" t="str">
        <f t="shared" si="1"/>
        <v>Actual total regulatory income (CP, intra year)</v>
      </c>
      <c r="B10" s="96">
        <v>2015</v>
      </c>
      <c r="C10" s="43" t="s">
        <v>10</v>
      </c>
      <c r="D10" s="97">
        <v>0</v>
      </c>
      <c r="E10" s="95">
        <v>50913.07803891498</v>
      </c>
      <c r="F10" s="95">
        <v>93463.499761000014</v>
      </c>
      <c r="G10" s="95">
        <v>12303.638150000001</v>
      </c>
      <c r="H10" s="95">
        <v>33555.018854853428</v>
      </c>
      <c r="I10" s="95">
        <v>41252.173596999994</v>
      </c>
      <c r="J10" s="95">
        <v>19964.15176705307</v>
      </c>
      <c r="K10" s="95">
        <v>31893.138895065</v>
      </c>
      <c r="L10" s="95">
        <v>10534.437260000001</v>
      </c>
      <c r="M10" s="95">
        <v>42074</v>
      </c>
      <c r="N10" s="182">
        <v>274173.66406071821</v>
      </c>
      <c r="O10" s="95">
        <v>35781.511065796949</v>
      </c>
      <c r="P10" s="95">
        <v>358774.20933492831</v>
      </c>
      <c r="Q10" s="95">
        <v>38455.641280000011</v>
      </c>
      <c r="R10" s="95">
        <v>39133.152049999997</v>
      </c>
      <c r="S10" s="95">
        <v>139743.77389999889</v>
      </c>
      <c r="T10" s="95">
        <v>616862</v>
      </c>
      <c r="U10" s="95">
        <v>182610.49262408871</v>
      </c>
      <c r="V10" s="67" t="s">
        <v>83</v>
      </c>
      <c r="X10" s="11" t="str">
        <f t="shared" si="0"/>
        <v>Actual total regulatory income (CP, intra year) 2015</v>
      </c>
    </row>
    <row r="11" spans="1:24" s="11" customFormat="1" x14ac:dyDescent="0.25">
      <c r="A11" s="41" t="s">
        <v>20</v>
      </c>
      <c r="B11" s="96">
        <v>2011</v>
      </c>
      <c r="C11" s="43" t="s">
        <v>10</v>
      </c>
      <c r="D11" s="97">
        <v>0</v>
      </c>
      <c r="E11" s="95">
        <v>24568</v>
      </c>
      <c r="F11" s="95">
        <v>50400</v>
      </c>
      <c r="G11" s="95">
        <v>7468</v>
      </c>
      <c r="H11" s="95">
        <v>20277</v>
      </c>
      <c r="I11" s="95">
        <v>22969</v>
      </c>
      <c r="J11" s="95">
        <v>11714</v>
      </c>
      <c r="K11" s="95">
        <v>19740</v>
      </c>
      <c r="L11" s="95">
        <v>6762</v>
      </c>
      <c r="M11" s="95">
        <v>23208</v>
      </c>
      <c r="N11" s="95">
        <v>132689</v>
      </c>
      <c r="O11" s="95">
        <v>22170</v>
      </c>
      <c r="P11" s="95">
        <v>213638</v>
      </c>
      <c r="Q11" s="95">
        <v>25668</v>
      </c>
      <c r="R11" s="95">
        <v>26133</v>
      </c>
      <c r="S11" s="95">
        <v>74648</v>
      </c>
      <c r="T11" s="95">
        <v>399226</v>
      </c>
      <c r="U11" s="95">
        <v>95971</v>
      </c>
      <c r="V11" s="67" t="s">
        <v>226</v>
      </c>
      <c r="X11" s="11" t="str">
        <f t="shared" si="0"/>
        <v>ANR 2011</v>
      </c>
    </row>
    <row r="12" spans="1:24" s="11" customFormat="1" x14ac:dyDescent="0.25">
      <c r="A12" s="41" t="s">
        <v>20</v>
      </c>
      <c r="B12" s="96">
        <v>2012</v>
      </c>
      <c r="C12" s="43" t="s">
        <v>10</v>
      </c>
      <c r="D12" s="97">
        <v>0</v>
      </c>
      <c r="E12" s="95">
        <v>25287</v>
      </c>
      <c r="F12" s="95">
        <v>53835</v>
      </c>
      <c r="G12" s="95">
        <v>7491</v>
      </c>
      <c r="H12" s="95">
        <v>21085</v>
      </c>
      <c r="I12" s="95">
        <v>24129</v>
      </c>
      <c r="J12" s="95">
        <v>12369</v>
      </c>
      <c r="K12" s="95">
        <v>20410</v>
      </c>
      <c r="L12" s="95">
        <v>6842</v>
      </c>
      <c r="M12" s="95">
        <v>25052</v>
      </c>
      <c r="N12" s="95">
        <v>138270</v>
      </c>
      <c r="O12" s="95">
        <v>22829</v>
      </c>
      <c r="P12" s="95">
        <v>226464</v>
      </c>
      <c r="Q12" s="95">
        <v>26139</v>
      </c>
      <c r="R12" s="95">
        <v>27657</v>
      </c>
      <c r="S12" s="95">
        <v>81531</v>
      </c>
      <c r="T12" s="95">
        <v>414596</v>
      </c>
      <c r="U12" s="95">
        <v>103162</v>
      </c>
      <c r="V12" s="67" t="s">
        <v>226</v>
      </c>
      <c r="X12" s="11" t="str">
        <f t="shared" si="0"/>
        <v>ANR 2012</v>
      </c>
    </row>
    <row r="13" spans="1:24" s="11" customFormat="1" x14ac:dyDescent="0.25">
      <c r="A13" s="41" t="s">
        <v>20</v>
      </c>
      <c r="B13" s="96">
        <v>2013</v>
      </c>
      <c r="C13" s="43" t="s">
        <v>10</v>
      </c>
      <c r="D13" s="97">
        <v>0</v>
      </c>
      <c r="E13" s="95">
        <v>26264</v>
      </c>
      <c r="F13" s="95">
        <v>55083</v>
      </c>
      <c r="G13" s="95">
        <v>7961</v>
      </c>
      <c r="H13" s="95">
        <v>22150</v>
      </c>
      <c r="I13" s="95">
        <v>26428</v>
      </c>
      <c r="J13" s="95">
        <v>12756</v>
      </c>
      <c r="K13" s="95">
        <v>21037</v>
      </c>
      <c r="L13" s="95">
        <v>7086</v>
      </c>
      <c r="M13" s="95">
        <v>25683</v>
      </c>
      <c r="N13" s="95">
        <v>141934</v>
      </c>
      <c r="O13" s="95">
        <v>23598</v>
      </c>
      <c r="P13" s="95">
        <v>234010</v>
      </c>
      <c r="Q13" s="95">
        <v>29748</v>
      </c>
      <c r="R13" s="95">
        <v>28122</v>
      </c>
      <c r="S13" s="95">
        <v>83399</v>
      </c>
      <c r="T13" s="95">
        <v>428664</v>
      </c>
      <c r="U13" s="95">
        <v>103483</v>
      </c>
      <c r="V13" s="67" t="s">
        <v>226</v>
      </c>
      <c r="X13" s="11" t="str">
        <f t="shared" si="0"/>
        <v>ANR 2013</v>
      </c>
    </row>
    <row r="14" spans="1:24" s="11" customFormat="1" x14ac:dyDescent="0.25">
      <c r="A14" s="41" t="s">
        <v>20</v>
      </c>
      <c r="B14" s="96">
        <v>2014</v>
      </c>
      <c r="C14" s="43" t="s">
        <v>10</v>
      </c>
      <c r="D14" s="97">
        <v>0</v>
      </c>
      <c r="E14" s="95">
        <v>27753</v>
      </c>
      <c r="F14" s="95">
        <v>56452</v>
      </c>
      <c r="G14" s="95">
        <v>8626</v>
      </c>
      <c r="H14" s="95">
        <v>21331</v>
      </c>
      <c r="I14" s="95">
        <v>28680</v>
      </c>
      <c r="J14" s="95">
        <v>13357</v>
      </c>
      <c r="K14" s="95">
        <v>20931</v>
      </c>
      <c r="L14" s="95">
        <v>7083</v>
      </c>
      <c r="M14" s="95">
        <v>28391</v>
      </c>
      <c r="N14" s="95">
        <v>129172</v>
      </c>
      <c r="O14" s="95">
        <v>24562</v>
      </c>
      <c r="P14" s="95">
        <v>242914</v>
      </c>
      <c r="Q14" s="95">
        <v>33364</v>
      </c>
      <c r="R14" s="95">
        <v>31557</v>
      </c>
      <c r="S14" s="95">
        <v>91508</v>
      </c>
      <c r="T14" s="95">
        <v>396705</v>
      </c>
      <c r="U14" s="95">
        <v>106701</v>
      </c>
      <c r="V14" s="67" t="s">
        <v>226</v>
      </c>
      <c r="X14" s="11" t="str">
        <f t="shared" si="0"/>
        <v>ANR 2014</v>
      </c>
    </row>
    <row r="15" spans="1:24" s="11" customFormat="1" x14ac:dyDescent="0.25">
      <c r="A15" s="41" t="s">
        <v>20</v>
      </c>
      <c r="B15" s="96">
        <v>2015</v>
      </c>
      <c r="C15" s="43" t="s">
        <v>10</v>
      </c>
      <c r="D15" s="97">
        <v>0</v>
      </c>
      <c r="E15" s="95">
        <v>34487</v>
      </c>
      <c r="F15" s="95">
        <v>57666</v>
      </c>
      <c r="G15" s="95">
        <v>9932</v>
      </c>
      <c r="H15" s="95">
        <v>21461</v>
      </c>
      <c r="I15" s="95">
        <v>30092</v>
      </c>
      <c r="J15" s="95">
        <v>13087</v>
      </c>
      <c r="K15" s="95">
        <v>21511</v>
      </c>
      <c r="L15" s="95">
        <v>6930</v>
      </c>
      <c r="M15" s="95">
        <v>29160</v>
      </c>
      <c r="N15" s="95">
        <v>151427</v>
      </c>
      <c r="O15" s="95">
        <v>25108</v>
      </c>
      <c r="P15" s="95">
        <v>245111</v>
      </c>
      <c r="Q15" s="95">
        <v>38078</v>
      </c>
      <c r="R15" s="95">
        <v>33975</v>
      </c>
      <c r="S15" s="95">
        <v>101415</v>
      </c>
      <c r="T15" s="95">
        <v>395755</v>
      </c>
      <c r="U15" s="95">
        <v>104849</v>
      </c>
      <c r="V15" s="67" t="s">
        <v>226</v>
      </c>
      <c r="X15" s="11" t="str">
        <f t="shared" si="0"/>
        <v>ANR 2015</v>
      </c>
    </row>
    <row r="16" spans="1:24" s="11" customFormat="1" x14ac:dyDescent="0.25">
      <c r="A16" s="41" t="s">
        <v>19</v>
      </c>
      <c r="B16" s="96">
        <v>2011</v>
      </c>
      <c r="C16" s="43" t="s">
        <v>10</v>
      </c>
      <c r="D16" s="97">
        <v>0</v>
      </c>
      <c r="E16" s="95">
        <v>23771</v>
      </c>
      <c r="F16" s="95">
        <v>50159</v>
      </c>
      <c r="G16" s="95">
        <v>7251</v>
      </c>
      <c r="H16" s="95">
        <v>19578</v>
      </c>
      <c r="I16" s="95">
        <v>22593</v>
      </c>
      <c r="J16" s="95">
        <v>11353</v>
      </c>
      <c r="K16" s="95">
        <v>19266</v>
      </c>
      <c r="L16" s="95">
        <v>6456</v>
      </c>
      <c r="M16" s="95">
        <v>22753</v>
      </c>
      <c r="N16" s="95">
        <v>132815</v>
      </c>
      <c r="O16" s="95">
        <v>21970</v>
      </c>
      <c r="P16" s="95">
        <v>208513</v>
      </c>
      <c r="Q16" s="95">
        <v>24460</v>
      </c>
      <c r="R16" s="95">
        <v>25172</v>
      </c>
      <c r="S16" s="95">
        <v>74574</v>
      </c>
      <c r="T16" s="95">
        <v>398433</v>
      </c>
      <c r="U16" s="95">
        <v>95813</v>
      </c>
      <c r="V16" s="67" t="s">
        <v>226</v>
      </c>
      <c r="X16" s="11" t="str">
        <f t="shared" si="0"/>
        <v>NR 2011</v>
      </c>
    </row>
    <row r="17" spans="1:24" s="11" customFormat="1" x14ac:dyDescent="0.25">
      <c r="A17" s="41" t="s">
        <v>19</v>
      </c>
      <c r="B17" s="96">
        <v>2012</v>
      </c>
      <c r="C17" s="43" t="s">
        <v>10</v>
      </c>
      <c r="D17" s="97">
        <v>0</v>
      </c>
      <c r="E17" s="95">
        <v>25214</v>
      </c>
      <c r="F17" s="95">
        <v>53601</v>
      </c>
      <c r="G17" s="95">
        <v>7460</v>
      </c>
      <c r="H17" s="95">
        <v>20398</v>
      </c>
      <c r="I17" s="95">
        <v>23918</v>
      </c>
      <c r="J17" s="95">
        <v>12263</v>
      </c>
      <c r="K17" s="95">
        <v>21056</v>
      </c>
      <c r="L17" s="95">
        <v>6640</v>
      </c>
      <c r="M17" s="95">
        <v>24756</v>
      </c>
      <c r="N17" s="95">
        <v>138072</v>
      </c>
      <c r="O17" s="95">
        <v>22729</v>
      </c>
      <c r="P17" s="95">
        <v>220407</v>
      </c>
      <c r="Q17" s="95">
        <v>25995</v>
      </c>
      <c r="R17" s="95">
        <v>27235</v>
      </c>
      <c r="S17" s="95">
        <v>81527</v>
      </c>
      <c r="T17" s="95">
        <v>411779</v>
      </c>
      <c r="U17" s="95">
        <v>103278</v>
      </c>
      <c r="V17" s="67" t="s">
        <v>226</v>
      </c>
      <c r="X17" s="11" t="str">
        <f t="shared" si="0"/>
        <v>NR 2012</v>
      </c>
    </row>
    <row r="18" spans="1:24" s="11" customFormat="1" x14ac:dyDescent="0.25">
      <c r="A18" s="41" t="s">
        <v>19</v>
      </c>
      <c r="B18" s="96">
        <v>2013</v>
      </c>
      <c r="C18" s="43" t="s">
        <v>10</v>
      </c>
      <c r="D18" s="97">
        <v>0</v>
      </c>
      <c r="E18" s="95">
        <v>26160</v>
      </c>
      <c r="F18" s="95">
        <v>54820</v>
      </c>
      <c r="G18" s="95">
        <v>7883</v>
      </c>
      <c r="H18" s="95">
        <v>20865</v>
      </c>
      <c r="I18" s="95">
        <v>26153</v>
      </c>
      <c r="J18" s="95">
        <v>12656</v>
      </c>
      <c r="K18" s="95">
        <v>20870</v>
      </c>
      <c r="L18" s="95">
        <v>6933</v>
      </c>
      <c r="M18" s="95">
        <v>25097</v>
      </c>
      <c r="N18" s="95">
        <v>141646</v>
      </c>
      <c r="O18" s="95">
        <v>23406</v>
      </c>
      <c r="P18" s="95">
        <v>229541</v>
      </c>
      <c r="Q18" s="95">
        <v>27799</v>
      </c>
      <c r="R18" s="95">
        <v>28025</v>
      </c>
      <c r="S18" s="95">
        <v>83365</v>
      </c>
      <c r="T18" s="95">
        <v>420906</v>
      </c>
      <c r="U18" s="95">
        <v>102517</v>
      </c>
      <c r="V18" s="67" t="s">
        <v>226</v>
      </c>
      <c r="X18" s="11" t="str">
        <f t="shared" si="0"/>
        <v>NR 2013</v>
      </c>
    </row>
    <row r="19" spans="1:24" s="11" customFormat="1" x14ac:dyDescent="0.25">
      <c r="A19" s="41" t="s">
        <v>19</v>
      </c>
      <c r="B19" s="96">
        <v>2014</v>
      </c>
      <c r="C19" s="43" t="s">
        <v>10</v>
      </c>
      <c r="D19" s="97">
        <v>0</v>
      </c>
      <c r="E19" s="95">
        <v>26731</v>
      </c>
      <c r="F19" s="95">
        <v>56164</v>
      </c>
      <c r="G19" s="95">
        <v>8413</v>
      </c>
      <c r="H19" s="95">
        <v>21176</v>
      </c>
      <c r="I19" s="95">
        <v>28132</v>
      </c>
      <c r="J19" s="95">
        <v>13195</v>
      </c>
      <c r="K19" s="95">
        <v>20896</v>
      </c>
      <c r="L19" s="95">
        <v>7080</v>
      </c>
      <c r="M19" s="95">
        <v>25855</v>
      </c>
      <c r="N19" s="95">
        <v>128603</v>
      </c>
      <c r="O19" s="95">
        <v>24388</v>
      </c>
      <c r="P19" s="95">
        <v>241119</v>
      </c>
      <c r="Q19" s="95">
        <v>28976</v>
      </c>
      <c r="R19" s="95">
        <v>28638</v>
      </c>
      <c r="S19" s="95">
        <v>91123</v>
      </c>
      <c r="T19" s="95">
        <v>396694</v>
      </c>
      <c r="U19" s="95">
        <v>106523</v>
      </c>
      <c r="V19" s="67" t="s">
        <v>226</v>
      </c>
      <c r="X19" s="11" t="str">
        <f t="shared" si="0"/>
        <v>NR 2014</v>
      </c>
    </row>
    <row r="20" spans="1:24" s="11" customFormat="1" x14ac:dyDescent="0.25">
      <c r="A20" s="41" t="s">
        <v>19</v>
      </c>
      <c r="B20" s="96">
        <v>2015</v>
      </c>
      <c r="C20" s="43" t="s">
        <v>10</v>
      </c>
      <c r="D20" s="97">
        <v>0</v>
      </c>
      <c r="E20" s="95">
        <v>33874</v>
      </c>
      <c r="F20" s="95">
        <v>57188</v>
      </c>
      <c r="G20" s="95">
        <v>9511</v>
      </c>
      <c r="H20" s="95">
        <v>21423</v>
      </c>
      <c r="I20" s="95">
        <v>28385</v>
      </c>
      <c r="J20" s="95">
        <v>12926</v>
      </c>
      <c r="K20" s="95">
        <v>21337</v>
      </c>
      <c r="L20" s="95">
        <v>6716</v>
      </c>
      <c r="M20" s="95">
        <v>25399</v>
      </c>
      <c r="N20" s="95">
        <v>150225</v>
      </c>
      <c r="O20" s="95">
        <v>24922</v>
      </c>
      <c r="P20" s="95">
        <v>243541</v>
      </c>
      <c r="Q20" s="95">
        <v>30569</v>
      </c>
      <c r="R20" s="95">
        <v>28666</v>
      </c>
      <c r="S20" s="95">
        <v>101287</v>
      </c>
      <c r="T20" s="95">
        <v>395649</v>
      </c>
      <c r="U20" s="95">
        <v>104353</v>
      </c>
      <c r="V20" s="67" t="s">
        <v>226</v>
      </c>
      <c r="X20" s="11" t="str">
        <f t="shared" si="0"/>
        <v>NR 2015</v>
      </c>
    </row>
    <row r="21" spans="1:24" s="11" customFormat="1" x14ac:dyDescent="0.25">
      <c r="A21" s="41" t="s">
        <v>18</v>
      </c>
      <c r="B21" s="96" t="s">
        <v>27</v>
      </c>
      <c r="C21" s="43" t="s">
        <v>10</v>
      </c>
      <c r="D21" s="97">
        <v>0</v>
      </c>
      <c r="E21" s="36" t="b">
        <v>0</v>
      </c>
      <c r="F21" s="36" t="b">
        <v>1</v>
      </c>
      <c r="G21" s="36" t="b">
        <v>0</v>
      </c>
      <c r="H21" s="36" t="b">
        <v>1</v>
      </c>
      <c r="I21" s="36" t="b">
        <v>1</v>
      </c>
      <c r="J21" s="36" t="b">
        <v>1</v>
      </c>
      <c r="K21" s="36" t="b">
        <v>1</v>
      </c>
      <c r="L21" s="36" t="b">
        <v>1</v>
      </c>
      <c r="M21" s="36" t="b">
        <v>1</v>
      </c>
      <c r="N21" s="36" t="b">
        <v>0</v>
      </c>
      <c r="O21" s="36" t="b">
        <v>1</v>
      </c>
      <c r="P21" s="36" t="b">
        <v>1</v>
      </c>
      <c r="Q21" s="36" t="b">
        <v>0</v>
      </c>
      <c r="R21" s="36" t="b">
        <v>0</v>
      </c>
      <c r="S21" s="36" t="b">
        <v>1</v>
      </c>
      <c r="T21" s="36" t="b">
        <v>1</v>
      </c>
      <c r="U21" s="36" t="b">
        <v>1</v>
      </c>
      <c r="V21" s="67" t="s">
        <v>227</v>
      </c>
      <c r="X21" s="11" t="str">
        <f t="shared" si="0"/>
        <v>MAR set for business in 2014? Value</v>
      </c>
    </row>
    <row r="22" spans="1:24" s="11" customFormat="1" x14ac:dyDescent="0.25">
      <c r="A22" s="81" t="s">
        <v>86</v>
      </c>
      <c r="B22" s="96" t="s">
        <v>27</v>
      </c>
      <c r="C22" s="43" t="s">
        <v>10</v>
      </c>
      <c r="D22" s="97">
        <v>0</v>
      </c>
      <c r="E22" s="97">
        <v>0</v>
      </c>
      <c r="F22" s="97">
        <v>57536</v>
      </c>
      <c r="G22" s="97">
        <v>0</v>
      </c>
      <c r="H22" s="97">
        <v>21200</v>
      </c>
      <c r="I22" s="97">
        <v>29789</v>
      </c>
      <c r="J22" s="97">
        <v>13320</v>
      </c>
      <c r="K22" s="97">
        <v>20901</v>
      </c>
      <c r="L22" s="97">
        <v>7196</v>
      </c>
      <c r="M22" s="97">
        <v>28939</v>
      </c>
      <c r="N22" s="97">
        <v>0</v>
      </c>
      <c r="O22" s="97">
        <v>24759</v>
      </c>
      <c r="P22" s="97">
        <v>246378</v>
      </c>
      <c r="Q22" s="97">
        <v>0</v>
      </c>
      <c r="R22" s="97">
        <v>0</v>
      </c>
      <c r="S22" s="97">
        <v>91594</v>
      </c>
      <c r="T22" s="97">
        <v>416760</v>
      </c>
      <c r="U22" s="97">
        <v>109404</v>
      </c>
      <c r="V22" s="67" t="s">
        <v>227</v>
      </c>
      <c r="X22" s="11" t="str">
        <f t="shared" si="0"/>
        <v>MAR value in determination (revenue date) Value</v>
      </c>
    </row>
    <row r="23" spans="1:24" s="11" customFormat="1" x14ac:dyDescent="0.25">
      <c r="A23" s="41" t="s">
        <v>80</v>
      </c>
      <c r="B23" s="96" t="s">
        <v>27</v>
      </c>
      <c r="C23" s="43" t="s">
        <v>10</v>
      </c>
      <c r="D23" s="98">
        <v>0</v>
      </c>
      <c r="E23" s="98">
        <v>0</v>
      </c>
      <c r="F23" s="98">
        <v>1.0129999999999999</v>
      </c>
      <c r="G23" s="98">
        <v>0</v>
      </c>
      <c r="H23" s="98">
        <v>0.996</v>
      </c>
      <c r="I23" s="98">
        <v>1.032</v>
      </c>
      <c r="J23" s="98">
        <v>0.998</v>
      </c>
      <c r="K23" s="98">
        <v>0.999</v>
      </c>
      <c r="L23" s="98">
        <v>1.0109999999999999</v>
      </c>
      <c r="M23" s="98">
        <v>1.012</v>
      </c>
      <c r="N23" s="98">
        <v>0</v>
      </c>
      <c r="O23" s="98">
        <v>1.006</v>
      </c>
      <c r="P23" s="98">
        <v>1.01</v>
      </c>
      <c r="Q23" s="98">
        <v>0</v>
      </c>
      <c r="R23" s="98">
        <v>0</v>
      </c>
      <c r="S23" s="98">
        <v>1.0009999999999999</v>
      </c>
      <c r="T23" s="98">
        <v>1.034</v>
      </c>
      <c r="U23" s="98">
        <v>1.016</v>
      </c>
      <c r="V23" s="67" t="s">
        <v>227</v>
      </c>
      <c r="X23" s="11" t="str">
        <f t="shared" si="0"/>
        <v>Forecast CPRG 2012-14 - 'ΔD' Value</v>
      </c>
    </row>
    <row r="24" spans="1:24" s="11" customFormat="1" x14ac:dyDescent="0.25">
      <c r="A24" s="41" t="s">
        <v>17</v>
      </c>
      <c r="B24" s="96">
        <v>2011</v>
      </c>
      <c r="C24" s="43" t="s">
        <v>10</v>
      </c>
      <c r="D24" s="99">
        <v>2.4650391087935531E-2</v>
      </c>
      <c r="E24" s="61">
        <f t="shared" ref="E24:U28" si="2">$D24</f>
        <v>2.4650391087935531E-2</v>
      </c>
      <c r="F24" s="61">
        <f t="shared" si="2"/>
        <v>2.4650391087935531E-2</v>
      </c>
      <c r="G24" s="61">
        <f t="shared" si="2"/>
        <v>2.4650391087935531E-2</v>
      </c>
      <c r="H24" s="61">
        <f t="shared" si="2"/>
        <v>2.4650391087935531E-2</v>
      </c>
      <c r="I24" s="61">
        <f t="shared" si="2"/>
        <v>2.4650391087935531E-2</v>
      </c>
      <c r="J24" s="61">
        <f t="shared" si="2"/>
        <v>2.4650391087935531E-2</v>
      </c>
      <c r="K24" s="61">
        <f t="shared" si="2"/>
        <v>2.4650391087935531E-2</v>
      </c>
      <c r="L24" s="61">
        <f t="shared" si="2"/>
        <v>2.4650391087935531E-2</v>
      </c>
      <c r="M24" s="61">
        <f t="shared" si="2"/>
        <v>2.4650391087935531E-2</v>
      </c>
      <c r="N24" s="61">
        <f t="shared" si="2"/>
        <v>2.4650391087935531E-2</v>
      </c>
      <c r="O24" s="61">
        <f t="shared" si="2"/>
        <v>2.4650391087935531E-2</v>
      </c>
      <c r="P24" s="61">
        <f t="shared" si="2"/>
        <v>2.4650391087935531E-2</v>
      </c>
      <c r="Q24" s="61">
        <f t="shared" si="2"/>
        <v>2.4650391087935531E-2</v>
      </c>
      <c r="R24" s="61">
        <f t="shared" si="2"/>
        <v>2.4650391087935531E-2</v>
      </c>
      <c r="S24" s="61">
        <f t="shared" si="2"/>
        <v>2.4650391087935531E-2</v>
      </c>
      <c r="T24" s="61">
        <f t="shared" si="2"/>
        <v>2.4650391087935531E-2</v>
      </c>
      <c r="U24" s="61">
        <f t="shared" si="2"/>
        <v>2.4650391087935531E-2</v>
      </c>
      <c r="V24" s="67" t="s">
        <v>84</v>
      </c>
      <c r="X24" s="11" t="str">
        <f t="shared" si="0"/>
        <v>Actual CPI change - Annual compliance statement 2011</v>
      </c>
    </row>
    <row r="25" spans="1:24" s="11" customFormat="1" x14ac:dyDescent="0.25">
      <c r="A25" s="41" t="s">
        <v>17</v>
      </c>
      <c r="B25" s="96">
        <v>2012</v>
      </c>
      <c r="C25" s="43" t="s">
        <v>10</v>
      </c>
      <c r="D25" s="99">
        <v>1.7811704834605598E-2</v>
      </c>
      <c r="E25" s="61">
        <f t="shared" si="2"/>
        <v>1.7811704834605598E-2</v>
      </c>
      <c r="F25" s="61">
        <f t="shared" si="2"/>
        <v>1.7811704834605598E-2</v>
      </c>
      <c r="G25" s="61">
        <f t="shared" si="2"/>
        <v>1.7811704834605598E-2</v>
      </c>
      <c r="H25" s="61">
        <f t="shared" si="2"/>
        <v>1.7811704834605598E-2</v>
      </c>
      <c r="I25" s="61">
        <f t="shared" si="2"/>
        <v>1.7811704834605598E-2</v>
      </c>
      <c r="J25" s="61">
        <f t="shared" si="2"/>
        <v>1.7811704834605598E-2</v>
      </c>
      <c r="K25" s="61">
        <f t="shared" si="2"/>
        <v>1.7811704834605598E-2</v>
      </c>
      <c r="L25" s="61">
        <f t="shared" si="2"/>
        <v>1.7811704834605598E-2</v>
      </c>
      <c r="M25" s="61">
        <f t="shared" si="2"/>
        <v>1.7811704834605598E-2</v>
      </c>
      <c r="N25" s="61">
        <f t="shared" si="2"/>
        <v>1.7811704834605598E-2</v>
      </c>
      <c r="O25" s="61">
        <f t="shared" si="2"/>
        <v>1.7811704834605598E-2</v>
      </c>
      <c r="P25" s="61">
        <f t="shared" si="2"/>
        <v>1.7811704834605598E-2</v>
      </c>
      <c r="Q25" s="61">
        <f t="shared" si="2"/>
        <v>1.7811704834605598E-2</v>
      </c>
      <c r="R25" s="61">
        <f t="shared" si="2"/>
        <v>1.7811704834605598E-2</v>
      </c>
      <c r="S25" s="61">
        <f t="shared" si="2"/>
        <v>1.7811704834605598E-2</v>
      </c>
      <c r="T25" s="61">
        <f t="shared" si="2"/>
        <v>1.7811704834605598E-2</v>
      </c>
      <c r="U25" s="61">
        <f t="shared" si="2"/>
        <v>1.7811704834605598E-2</v>
      </c>
      <c r="V25" s="67" t="s">
        <v>84</v>
      </c>
      <c r="X25" s="11" t="str">
        <f t="shared" si="0"/>
        <v>Actual CPI change - Annual compliance statement 2012</v>
      </c>
    </row>
    <row r="26" spans="1:24" s="11" customFormat="1" x14ac:dyDescent="0.25">
      <c r="A26" s="41" t="s">
        <v>17</v>
      </c>
      <c r="B26" s="96">
        <v>2013</v>
      </c>
      <c r="C26" s="43" t="s">
        <v>10</v>
      </c>
      <c r="D26" s="99">
        <v>4.5909090909090906E-2</v>
      </c>
      <c r="E26" s="61">
        <f t="shared" si="2"/>
        <v>4.5909090909090906E-2</v>
      </c>
      <c r="F26" s="61">
        <f t="shared" si="2"/>
        <v>4.5909090909090906E-2</v>
      </c>
      <c r="G26" s="61">
        <f t="shared" si="2"/>
        <v>4.5909090909090906E-2</v>
      </c>
      <c r="H26" s="61">
        <f t="shared" si="2"/>
        <v>4.5909090909090906E-2</v>
      </c>
      <c r="I26" s="61">
        <f t="shared" si="2"/>
        <v>4.5909090909090906E-2</v>
      </c>
      <c r="J26" s="61">
        <f t="shared" si="2"/>
        <v>4.5909090909090906E-2</v>
      </c>
      <c r="K26" s="61">
        <f t="shared" si="2"/>
        <v>4.5909090909090906E-2</v>
      </c>
      <c r="L26" s="61">
        <f t="shared" si="2"/>
        <v>4.5909090909090906E-2</v>
      </c>
      <c r="M26" s="61">
        <f t="shared" si="2"/>
        <v>4.5909090909090906E-2</v>
      </c>
      <c r="N26" s="61">
        <f t="shared" si="2"/>
        <v>4.5909090909090906E-2</v>
      </c>
      <c r="O26" s="61">
        <f t="shared" si="2"/>
        <v>4.5909090909090906E-2</v>
      </c>
      <c r="P26" s="61">
        <f t="shared" si="2"/>
        <v>4.5909090909090906E-2</v>
      </c>
      <c r="Q26" s="61">
        <f t="shared" si="2"/>
        <v>4.5909090909090906E-2</v>
      </c>
      <c r="R26" s="61">
        <f t="shared" si="2"/>
        <v>4.5909090909090906E-2</v>
      </c>
      <c r="S26" s="61">
        <f t="shared" si="2"/>
        <v>4.5909090909090906E-2</v>
      </c>
      <c r="T26" s="61">
        <f t="shared" si="2"/>
        <v>4.5909090909090906E-2</v>
      </c>
      <c r="U26" s="112">
        <v>2.5399999999999999E-2</v>
      </c>
      <c r="V26" s="67" t="s">
        <v>84</v>
      </c>
      <c r="X26" s="11" t="str">
        <f t="shared" si="0"/>
        <v>Actual CPI change - Annual compliance statement 2013</v>
      </c>
    </row>
    <row r="27" spans="1:24" s="11" customFormat="1" x14ac:dyDescent="0.25">
      <c r="A27" s="41" t="s">
        <v>17</v>
      </c>
      <c r="B27" s="96">
        <v>2014</v>
      </c>
      <c r="C27" s="43" t="s">
        <v>10</v>
      </c>
      <c r="D27" s="99">
        <v>1.282051282051282E-2</v>
      </c>
      <c r="E27" s="61">
        <f t="shared" si="2"/>
        <v>1.282051282051282E-2</v>
      </c>
      <c r="F27" s="61">
        <f t="shared" si="2"/>
        <v>1.282051282051282E-2</v>
      </c>
      <c r="G27" s="61">
        <f t="shared" si="2"/>
        <v>1.282051282051282E-2</v>
      </c>
      <c r="H27" s="61">
        <f t="shared" si="2"/>
        <v>1.282051282051282E-2</v>
      </c>
      <c r="I27" s="61">
        <f t="shared" si="2"/>
        <v>1.282051282051282E-2</v>
      </c>
      <c r="J27" s="61">
        <f t="shared" si="2"/>
        <v>1.282051282051282E-2</v>
      </c>
      <c r="K27" s="61">
        <f t="shared" si="2"/>
        <v>1.282051282051282E-2</v>
      </c>
      <c r="L27" s="61">
        <f t="shared" si="2"/>
        <v>1.282051282051282E-2</v>
      </c>
      <c r="M27" s="61">
        <f t="shared" si="2"/>
        <v>1.282051282051282E-2</v>
      </c>
      <c r="N27" s="61">
        <f t="shared" si="2"/>
        <v>1.282051282051282E-2</v>
      </c>
      <c r="O27" s="61">
        <f t="shared" si="2"/>
        <v>1.282051282051282E-2</v>
      </c>
      <c r="P27" s="61">
        <f t="shared" si="2"/>
        <v>1.282051282051282E-2</v>
      </c>
      <c r="Q27" s="61">
        <f t="shared" si="2"/>
        <v>1.282051282051282E-2</v>
      </c>
      <c r="R27" s="61">
        <f t="shared" si="2"/>
        <v>1.282051282051282E-2</v>
      </c>
      <c r="S27" s="61">
        <f t="shared" si="2"/>
        <v>1.282051282051282E-2</v>
      </c>
      <c r="T27" s="61">
        <f t="shared" si="2"/>
        <v>1.282051282051282E-2</v>
      </c>
      <c r="U27" s="61">
        <f t="shared" si="2"/>
        <v>1.282051282051282E-2</v>
      </c>
      <c r="V27" s="67" t="s">
        <v>84</v>
      </c>
      <c r="X27" s="11" t="str">
        <f t="shared" si="0"/>
        <v>Actual CPI change - Annual compliance statement 2014</v>
      </c>
    </row>
    <row r="28" spans="1:24" s="11" customFormat="1" x14ac:dyDescent="0.25">
      <c r="A28" s="41" t="s">
        <v>17</v>
      </c>
      <c r="B28" s="96">
        <v>2015</v>
      </c>
      <c r="C28" s="43" t="s">
        <v>10</v>
      </c>
      <c r="D28" s="99">
        <v>9.6545805621111348E-3</v>
      </c>
      <c r="E28" s="61">
        <f t="shared" si="2"/>
        <v>9.6545805621111348E-3</v>
      </c>
      <c r="F28" s="61">
        <f t="shared" si="2"/>
        <v>9.6545805621111348E-3</v>
      </c>
      <c r="G28" s="61">
        <f t="shared" si="2"/>
        <v>9.6545805621111348E-3</v>
      </c>
      <c r="H28" s="61">
        <f t="shared" si="2"/>
        <v>9.6545805621111348E-3</v>
      </c>
      <c r="I28" s="61">
        <f t="shared" si="2"/>
        <v>9.6545805621111348E-3</v>
      </c>
      <c r="J28" s="61">
        <f t="shared" si="2"/>
        <v>9.6545805621111348E-3</v>
      </c>
      <c r="K28" s="61">
        <f t="shared" si="2"/>
        <v>9.6545805621111348E-3</v>
      </c>
      <c r="L28" s="61">
        <f t="shared" si="2"/>
        <v>9.6545805621111348E-3</v>
      </c>
      <c r="M28" s="61">
        <f t="shared" si="2"/>
        <v>9.6545805621111348E-3</v>
      </c>
      <c r="N28" s="61">
        <f t="shared" si="2"/>
        <v>9.6545805621111348E-3</v>
      </c>
      <c r="O28" s="61">
        <f t="shared" si="2"/>
        <v>9.6545805621111348E-3</v>
      </c>
      <c r="P28" s="61">
        <f t="shared" si="2"/>
        <v>9.6545805621111348E-3</v>
      </c>
      <c r="Q28" s="61">
        <f t="shared" si="2"/>
        <v>9.6545805621111348E-3</v>
      </c>
      <c r="R28" s="61">
        <f t="shared" si="2"/>
        <v>9.6545805621111348E-3</v>
      </c>
      <c r="S28" s="61">
        <f t="shared" si="2"/>
        <v>9.6545805621111348E-3</v>
      </c>
      <c r="T28" s="61">
        <f t="shared" si="2"/>
        <v>9.6545805621111348E-3</v>
      </c>
      <c r="U28" s="61">
        <f t="shared" si="2"/>
        <v>9.6545805621111348E-3</v>
      </c>
      <c r="V28" s="67" t="s">
        <v>84</v>
      </c>
      <c r="X28" s="11" t="str">
        <f t="shared" si="0"/>
        <v>Actual CPI change - Annual compliance statement 2015</v>
      </c>
    </row>
    <row r="29" spans="1:24" s="11" customFormat="1" x14ac:dyDescent="0.25">
      <c r="A29" s="41" t="s">
        <v>16</v>
      </c>
      <c r="B29" s="96">
        <v>2011</v>
      </c>
      <c r="C29" s="43" t="s">
        <v>10</v>
      </c>
      <c r="D29" s="99">
        <v>0</v>
      </c>
      <c r="E29" s="99">
        <v>0</v>
      </c>
      <c r="F29" s="99">
        <v>0</v>
      </c>
      <c r="G29" s="99">
        <v>0</v>
      </c>
      <c r="H29" s="99">
        <v>0</v>
      </c>
      <c r="I29" s="99">
        <v>0</v>
      </c>
      <c r="J29" s="99">
        <v>0</v>
      </c>
      <c r="K29" s="99">
        <v>0</v>
      </c>
      <c r="L29" s="99">
        <v>0</v>
      </c>
      <c r="M29" s="99">
        <v>0</v>
      </c>
      <c r="N29" s="99">
        <v>0</v>
      </c>
      <c r="O29" s="99">
        <v>0</v>
      </c>
      <c r="P29" s="99">
        <v>0</v>
      </c>
      <c r="Q29" s="99">
        <v>0</v>
      </c>
      <c r="R29" s="99">
        <v>0</v>
      </c>
      <c r="S29" s="99">
        <v>0</v>
      </c>
      <c r="T29" s="99">
        <v>0</v>
      </c>
      <c r="U29" s="99">
        <v>0</v>
      </c>
      <c r="V29" s="67" t="s">
        <v>227</v>
      </c>
      <c r="X29" s="11" t="str">
        <f t="shared" si="0"/>
        <v>X factor 2011</v>
      </c>
    </row>
    <row r="30" spans="1:24" s="11" customFormat="1" x14ac:dyDescent="0.25">
      <c r="A30" s="41" t="s">
        <v>16</v>
      </c>
      <c r="B30" s="96">
        <v>2012</v>
      </c>
      <c r="C30" s="43" t="s">
        <v>10</v>
      </c>
      <c r="D30" s="99">
        <v>0</v>
      </c>
      <c r="E30" s="99">
        <v>0</v>
      </c>
      <c r="F30" s="99">
        <v>0</v>
      </c>
      <c r="G30" s="99">
        <v>0</v>
      </c>
      <c r="H30" s="99">
        <v>0</v>
      </c>
      <c r="I30" s="99">
        <v>0</v>
      </c>
      <c r="J30" s="99">
        <v>0</v>
      </c>
      <c r="K30" s="99">
        <v>0</v>
      </c>
      <c r="L30" s="99">
        <v>0</v>
      </c>
      <c r="M30" s="99">
        <v>0</v>
      </c>
      <c r="N30" s="99">
        <v>0</v>
      </c>
      <c r="O30" s="99">
        <v>0</v>
      </c>
      <c r="P30" s="99">
        <v>0</v>
      </c>
      <c r="Q30" s="99">
        <v>0</v>
      </c>
      <c r="R30" s="99">
        <v>0</v>
      </c>
      <c r="S30" s="99">
        <v>0</v>
      </c>
      <c r="T30" s="99">
        <v>0</v>
      </c>
      <c r="U30" s="99">
        <v>0</v>
      </c>
      <c r="V30" s="67" t="s">
        <v>227</v>
      </c>
      <c r="X30" s="11" t="str">
        <f t="shared" si="0"/>
        <v>X factor 2012</v>
      </c>
    </row>
    <row r="31" spans="1:24" s="11" customFormat="1" x14ac:dyDescent="0.25">
      <c r="A31" s="41" t="s">
        <v>16</v>
      </c>
      <c r="B31" s="96">
        <v>2013</v>
      </c>
      <c r="C31" s="43" t="s">
        <v>10</v>
      </c>
      <c r="D31" s="99">
        <v>0</v>
      </c>
      <c r="E31" s="99">
        <v>0</v>
      </c>
      <c r="F31" s="99">
        <v>0</v>
      </c>
      <c r="G31" s="99">
        <v>0</v>
      </c>
      <c r="H31" s="99">
        <v>0</v>
      </c>
      <c r="I31" s="99">
        <v>0</v>
      </c>
      <c r="J31" s="99">
        <v>0</v>
      </c>
      <c r="K31" s="99">
        <v>0</v>
      </c>
      <c r="L31" s="99">
        <v>0</v>
      </c>
      <c r="M31" s="99">
        <v>0</v>
      </c>
      <c r="N31" s="99">
        <v>0</v>
      </c>
      <c r="O31" s="99">
        <v>0</v>
      </c>
      <c r="P31" s="99">
        <v>0</v>
      </c>
      <c r="Q31" s="99">
        <v>0</v>
      </c>
      <c r="R31" s="99">
        <v>0</v>
      </c>
      <c r="S31" s="99">
        <v>0</v>
      </c>
      <c r="T31" s="99">
        <v>0</v>
      </c>
      <c r="U31" s="99">
        <v>0</v>
      </c>
      <c r="V31" s="67" t="s">
        <v>227</v>
      </c>
      <c r="X31" s="11" t="str">
        <f t="shared" si="0"/>
        <v>X factor 2013</v>
      </c>
    </row>
    <row r="32" spans="1:24" s="11" customFormat="1" x14ac:dyDescent="0.25">
      <c r="A32" s="41" t="s">
        <v>16</v>
      </c>
      <c r="B32" s="96">
        <v>2014</v>
      </c>
      <c r="C32" s="43" t="s">
        <v>10</v>
      </c>
      <c r="D32" s="99">
        <v>0</v>
      </c>
      <c r="E32" s="99">
        <v>-0.1</v>
      </c>
      <c r="F32" s="99">
        <v>0</v>
      </c>
      <c r="G32" s="99">
        <v>-0.1</v>
      </c>
      <c r="H32" s="99">
        <v>0</v>
      </c>
      <c r="I32" s="99">
        <v>0</v>
      </c>
      <c r="J32" s="99">
        <v>0</v>
      </c>
      <c r="K32" s="99">
        <v>0</v>
      </c>
      <c r="L32" s="99">
        <v>0</v>
      </c>
      <c r="M32" s="99">
        <v>0</v>
      </c>
      <c r="N32" s="99">
        <v>0</v>
      </c>
      <c r="O32" s="99">
        <v>0</v>
      </c>
      <c r="P32" s="99">
        <v>0</v>
      </c>
      <c r="Q32" s="99">
        <v>-0.1</v>
      </c>
      <c r="R32" s="99">
        <v>-0.1</v>
      </c>
      <c r="S32" s="99">
        <v>0</v>
      </c>
      <c r="T32" s="99">
        <v>0</v>
      </c>
      <c r="U32" s="99">
        <v>0</v>
      </c>
      <c r="V32" s="67" t="s">
        <v>227</v>
      </c>
      <c r="X32" s="11" t="str">
        <f t="shared" si="0"/>
        <v>X factor 2014</v>
      </c>
    </row>
    <row r="33" spans="1:24" s="11" customFormat="1" x14ac:dyDescent="0.25">
      <c r="A33" s="41" t="s">
        <v>16</v>
      </c>
      <c r="B33" s="96">
        <v>2015</v>
      </c>
      <c r="C33" s="43" t="s">
        <v>10</v>
      </c>
      <c r="D33" s="99">
        <v>0</v>
      </c>
      <c r="E33" s="99">
        <v>-0.1</v>
      </c>
      <c r="F33" s="99">
        <v>0</v>
      </c>
      <c r="G33" s="99">
        <v>-0.1</v>
      </c>
      <c r="H33" s="99">
        <v>0</v>
      </c>
      <c r="I33" s="99">
        <v>0</v>
      </c>
      <c r="J33" s="99">
        <v>0</v>
      </c>
      <c r="K33" s="99">
        <v>0</v>
      </c>
      <c r="L33" s="99">
        <v>0</v>
      </c>
      <c r="M33" s="99">
        <v>0</v>
      </c>
      <c r="N33" s="99">
        <v>0</v>
      </c>
      <c r="O33" s="99">
        <v>0</v>
      </c>
      <c r="P33" s="99">
        <v>0</v>
      </c>
      <c r="Q33" s="99">
        <v>-0.1</v>
      </c>
      <c r="R33" s="99">
        <v>-0.1</v>
      </c>
      <c r="S33" s="99">
        <v>-0.08</v>
      </c>
      <c r="T33" s="99">
        <v>0</v>
      </c>
      <c r="U33" s="99">
        <v>0</v>
      </c>
      <c r="V33" s="67" t="s">
        <v>227</v>
      </c>
      <c r="X33" s="11" t="str">
        <f t="shared" si="0"/>
        <v>X factor 2015</v>
      </c>
    </row>
    <row r="34" spans="1:24" s="11" customFormat="1" x14ac:dyDescent="0.25">
      <c r="A34" s="41" t="s">
        <v>15</v>
      </c>
      <c r="B34" s="96" t="s">
        <v>27</v>
      </c>
      <c r="C34" s="43" t="s">
        <v>8</v>
      </c>
      <c r="D34" s="97">
        <v>365</v>
      </c>
      <c r="E34" s="62">
        <f t="shared" ref="E34:N43" si="3">$D34</f>
        <v>365</v>
      </c>
      <c r="F34" s="62">
        <f t="shared" si="3"/>
        <v>365</v>
      </c>
      <c r="G34" s="62">
        <f t="shared" si="3"/>
        <v>365</v>
      </c>
      <c r="H34" s="62">
        <f t="shared" si="3"/>
        <v>365</v>
      </c>
      <c r="I34" s="62">
        <f t="shared" si="3"/>
        <v>365</v>
      </c>
      <c r="J34" s="62">
        <f t="shared" si="3"/>
        <v>365</v>
      </c>
      <c r="K34" s="62">
        <f t="shared" si="3"/>
        <v>365</v>
      </c>
      <c r="L34" s="62">
        <f t="shared" si="3"/>
        <v>365</v>
      </c>
      <c r="M34" s="62">
        <f t="shared" si="3"/>
        <v>365</v>
      </c>
      <c r="N34" s="62">
        <f t="shared" si="3"/>
        <v>365</v>
      </c>
      <c r="O34" s="62">
        <f t="shared" ref="O34:U43" si="4">$D34</f>
        <v>365</v>
      </c>
      <c r="P34" s="62">
        <f t="shared" si="4"/>
        <v>365</v>
      </c>
      <c r="Q34" s="62">
        <f t="shared" si="4"/>
        <v>365</v>
      </c>
      <c r="R34" s="62">
        <f t="shared" si="4"/>
        <v>365</v>
      </c>
      <c r="S34" s="62">
        <f t="shared" si="4"/>
        <v>365</v>
      </c>
      <c r="T34" s="62">
        <f t="shared" si="4"/>
        <v>365</v>
      </c>
      <c r="U34" s="62">
        <f t="shared" si="4"/>
        <v>365</v>
      </c>
      <c r="V34" s="68" t="s">
        <v>228</v>
      </c>
      <c r="X34" s="11" t="str">
        <f t="shared" si="0"/>
        <v>Days in year Value</v>
      </c>
    </row>
    <row r="35" spans="1:24" s="11" customFormat="1" x14ac:dyDescent="0.25">
      <c r="A35" s="41" t="s">
        <v>14</v>
      </c>
      <c r="B35" s="96" t="s">
        <v>27</v>
      </c>
      <c r="C35" s="43" t="s">
        <v>8</v>
      </c>
      <c r="D35" s="101">
        <v>41216</v>
      </c>
      <c r="E35" s="63">
        <f t="shared" si="3"/>
        <v>41216</v>
      </c>
      <c r="F35" s="63">
        <f t="shared" si="3"/>
        <v>41216</v>
      </c>
      <c r="G35" s="63">
        <f t="shared" si="3"/>
        <v>41216</v>
      </c>
      <c r="H35" s="63">
        <f t="shared" si="3"/>
        <v>41216</v>
      </c>
      <c r="I35" s="63">
        <f t="shared" si="3"/>
        <v>41216</v>
      </c>
      <c r="J35" s="63">
        <f t="shared" si="3"/>
        <v>41216</v>
      </c>
      <c r="K35" s="63">
        <f t="shared" si="3"/>
        <v>41216</v>
      </c>
      <c r="L35" s="63">
        <f t="shared" si="3"/>
        <v>41216</v>
      </c>
      <c r="M35" s="63">
        <f t="shared" si="3"/>
        <v>41216</v>
      </c>
      <c r="N35" s="63">
        <f t="shared" si="3"/>
        <v>41216</v>
      </c>
      <c r="O35" s="63">
        <f t="shared" si="4"/>
        <v>41216</v>
      </c>
      <c r="P35" s="63">
        <f t="shared" si="4"/>
        <v>41216</v>
      </c>
      <c r="Q35" s="63">
        <f t="shared" si="4"/>
        <v>41216</v>
      </c>
      <c r="R35" s="63">
        <f t="shared" si="4"/>
        <v>41216</v>
      </c>
      <c r="S35" s="63">
        <f t="shared" si="4"/>
        <v>41216</v>
      </c>
      <c r="T35" s="63">
        <f t="shared" si="4"/>
        <v>41216</v>
      </c>
      <c r="U35" s="63">
        <f t="shared" si="4"/>
        <v>41216</v>
      </c>
      <c r="V35" s="68" t="s">
        <v>228</v>
      </c>
      <c r="X35" s="11" t="str">
        <f t="shared" si="0"/>
        <v>Date revenue is received (on average) Value</v>
      </c>
    </row>
    <row r="36" spans="1:24" s="11" customFormat="1" x14ac:dyDescent="0.25">
      <c r="A36" s="41" t="s">
        <v>13</v>
      </c>
      <c r="B36" s="96" t="s">
        <v>27</v>
      </c>
      <c r="C36" s="43" t="s">
        <v>8</v>
      </c>
      <c r="D36" s="101">
        <v>41364</v>
      </c>
      <c r="E36" s="63">
        <f t="shared" si="3"/>
        <v>41364</v>
      </c>
      <c r="F36" s="63">
        <f t="shared" si="3"/>
        <v>41364</v>
      </c>
      <c r="G36" s="63">
        <f t="shared" si="3"/>
        <v>41364</v>
      </c>
      <c r="H36" s="63">
        <f t="shared" si="3"/>
        <v>41364</v>
      </c>
      <c r="I36" s="63">
        <f t="shared" si="3"/>
        <v>41364</v>
      </c>
      <c r="J36" s="63">
        <f t="shared" si="3"/>
        <v>41364</v>
      </c>
      <c r="K36" s="63">
        <f t="shared" si="3"/>
        <v>41364</v>
      </c>
      <c r="L36" s="63">
        <f t="shared" si="3"/>
        <v>41364</v>
      </c>
      <c r="M36" s="63">
        <f t="shared" si="3"/>
        <v>41364</v>
      </c>
      <c r="N36" s="63">
        <f t="shared" si="3"/>
        <v>41364</v>
      </c>
      <c r="O36" s="63">
        <f t="shared" si="4"/>
        <v>41364</v>
      </c>
      <c r="P36" s="63">
        <f t="shared" si="4"/>
        <v>41364</v>
      </c>
      <c r="Q36" s="63">
        <f t="shared" si="4"/>
        <v>41364</v>
      </c>
      <c r="R36" s="63">
        <f t="shared" si="4"/>
        <v>41364</v>
      </c>
      <c r="S36" s="63">
        <f t="shared" si="4"/>
        <v>41364</v>
      </c>
      <c r="T36" s="63">
        <f t="shared" si="4"/>
        <v>41364</v>
      </c>
      <c r="U36" s="63">
        <f t="shared" si="4"/>
        <v>41364</v>
      </c>
      <c r="V36" s="68" t="s">
        <v>228</v>
      </c>
      <c r="X36" s="11" t="str">
        <f t="shared" si="0"/>
        <v>Last day in pricing year Value</v>
      </c>
    </row>
    <row r="37" spans="1:24" s="11" customFormat="1" x14ac:dyDescent="0.25">
      <c r="A37" s="41" t="s">
        <v>12</v>
      </c>
      <c r="B37" s="96" t="s">
        <v>27</v>
      </c>
      <c r="C37" s="43" t="s">
        <v>8</v>
      </c>
      <c r="D37" s="99">
        <v>8.77E-2</v>
      </c>
      <c r="E37" s="61">
        <f t="shared" si="3"/>
        <v>8.77E-2</v>
      </c>
      <c r="F37" s="61">
        <f t="shared" si="3"/>
        <v>8.77E-2</v>
      </c>
      <c r="G37" s="61">
        <f t="shared" si="3"/>
        <v>8.77E-2</v>
      </c>
      <c r="H37" s="61">
        <f t="shared" si="3"/>
        <v>8.77E-2</v>
      </c>
      <c r="I37" s="61">
        <f t="shared" si="3"/>
        <v>8.77E-2</v>
      </c>
      <c r="J37" s="61">
        <f t="shared" si="3"/>
        <v>8.77E-2</v>
      </c>
      <c r="K37" s="61">
        <f t="shared" si="3"/>
        <v>8.77E-2</v>
      </c>
      <c r="L37" s="61">
        <f t="shared" si="3"/>
        <v>8.77E-2</v>
      </c>
      <c r="M37" s="61">
        <f t="shared" si="3"/>
        <v>8.77E-2</v>
      </c>
      <c r="N37" s="61">
        <f t="shared" si="3"/>
        <v>8.77E-2</v>
      </c>
      <c r="O37" s="61">
        <f t="shared" si="4"/>
        <v>8.77E-2</v>
      </c>
      <c r="P37" s="61">
        <f t="shared" si="4"/>
        <v>8.77E-2</v>
      </c>
      <c r="Q37" s="61">
        <f t="shared" si="4"/>
        <v>8.77E-2</v>
      </c>
      <c r="R37" s="61">
        <f t="shared" si="4"/>
        <v>8.77E-2</v>
      </c>
      <c r="S37" s="61">
        <f t="shared" si="4"/>
        <v>8.77E-2</v>
      </c>
      <c r="T37" s="61">
        <f t="shared" si="4"/>
        <v>8.77E-2</v>
      </c>
      <c r="U37" s="61">
        <f t="shared" si="4"/>
        <v>8.77E-2</v>
      </c>
      <c r="V37" s="68" t="s">
        <v>228</v>
      </c>
      <c r="X37" s="11" t="str">
        <f t="shared" si="0"/>
        <v>WACC Value</v>
      </c>
    </row>
    <row r="38" spans="1:24" s="11" customFormat="1" x14ac:dyDescent="0.25">
      <c r="A38" s="41" t="s">
        <v>11</v>
      </c>
      <c r="B38" s="96" t="s">
        <v>27</v>
      </c>
      <c r="C38" s="43" t="s">
        <v>8</v>
      </c>
      <c r="D38" s="98">
        <v>1</v>
      </c>
      <c r="E38" s="64">
        <f t="shared" si="3"/>
        <v>1</v>
      </c>
      <c r="F38" s="64">
        <f t="shared" si="3"/>
        <v>1</v>
      </c>
      <c r="G38" s="64">
        <f t="shared" si="3"/>
        <v>1</v>
      </c>
      <c r="H38" s="64">
        <f t="shared" si="3"/>
        <v>1</v>
      </c>
      <c r="I38" s="64">
        <f t="shared" si="3"/>
        <v>1</v>
      </c>
      <c r="J38" s="64">
        <f t="shared" si="3"/>
        <v>1</v>
      </c>
      <c r="K38" s="64">
        <f t="shared" si="3"/>
        <v>1</v>
      </c>
      <c r="L38" s="64">
        <f t="shared" si="3"/>
        <v>1</v>
      </c>
      <c r="M38" s="64">
        <f t="shared" si="3"/>
        <v>1</v>
      </c>
      <c r="N38" s="64">
        <f t="shared" si="3"/>
        <v>1</v>
      </c>
      <c r="O38" s="64">
        <f t="shared" si="4"/>
        <v>1</v>
      </c>
      <c r="P38" s="64">
        <f t="shared" si="4"/>
        <v>1</v>
      </c>
      <c r="Q38" s="64">
        <f t="shared" si="4"/>
        <v>1</v>
      </c>
      <c r="R38" s="64">
        <f t="shared" si="4"/>
        <v>1</v>
      </c>
      <c r="S38" s="64">
        <f t="shared" si="4"/>
        <v>1</v>
      </c>
      <c r="T38" s="64">
        <f t="shared" si="4"/>
        <v>1</v>
      </c>
      <c r="U38" s="64">
        <f t="shared" si="4"/>
        <v>1</v>
      </c>
      <c r="V38" s="67"/>
      <c r="X38" s="11" t="str">
        <f t="shared" ref="X38:X69" si="5">A38&amp;" "&amp;B38</f>
        <v>Indexed value Value</v>
      </c>
    </row>
    <row r="39" spans="1:24" s="11" customFormat="1" x14ac:dyDescent="0.25">
      <c r="A39" s="81" t="s">
        <v>94</v>
      </c>
      <c r="B39" s="96">
        <v>2011</v>
      </c>
      <c r="C39" s="43" t="s">
        <v>8</v>
      </c>
      <c r="D39" s="99">
        <v>2.4650391087935652E-2</v>
      </c>
      <c r="E39" s="61">
        <f t="shared" si="3"/>
        <v>2.4650391087935652E-2</v>
      </c>
      <c r="F39" s="61">
        <f t="shared" si="3"/>
        <v>2.4650391087935652E-2</v>
      </c>
      <c r="G39" s="61">
        <f t="shared" si="3"/>
        <v>2.4650391087935652E-2</v>
      </c>
      <c r="H39" s="61">
        <f t="shared" si="3"/>
        <v>2.4650391087935652E-2</v>
      </c>
      <c r="I39" s="61">
        <f t="shared" si="3"/>
        <v>2.4650391087935652E-2</v>
      </c>
      <c r="J39" s="61">
        <f t="shared" si="3"/>
        <v>2.4650391087935652E-2</v>
      </c>
      <c r="K39" s="61">
        <f t="shared" si="3"/>
        <v>2.4650391087935652E-2</v>
      </c>
      <c r="L39" s="61">
        <f t="shared" si="3"/>
        <v>2.4650391087935652E-2</v>
      </c>
      <c r="M39" s="61">
        <f t="shared" si="3"/>
        <v>2.4650391087935652E-2</v>
      </c>
      <c r="N39" s="61">
        <f t="shared" si="3"/>
        <v>2.4650391087935652E-2</v>
      </c>
      <c r="O39" s="61">
        <f t="shared" si="4"/>
        <v>2.4650391087935652E-2</v>
      </c>
      <c r="P39" s="61">
        <f t="shared" si="4"/>
        <v>2.4650391087935652E-2</v>
      </c>
      <c r="Q39" s="61">
        <f t="shared" si="4"/>
        <v>2.4650391087935652E-2</v>
      </c>
      <c r="R39" s="61">
        <f t="shared" si="4"/>
        <v>2.4650391087935652E-2</v>
      </c>
      <c r="S39" s="61">
        <f t="shared" si="4"/>
        <v>2.4650391087935652E-2</v>
      </c>
      <c r="T39" s="61">
        <f t="shared" si="4"/>
        <v>2.4650391087935652E-2</v>
      </c>
      <c r="U39" s="61">
        <f t="shared" si="4"/>
        <v>2.4650391087935652E-2</v>
      </c>
      <c r="V39" s="68" t="s">
        <v>228</v>
      </c>
      <c r="X39" s="11" t="str">
        <f t="shared" si="5"/>
        <v>Forecast CPI change (2012 forecast) - November 2012 financial model 2011</v>
      </c>
    </row>
    <row r="40" spans="1:24" s="11" customFormat="1" x14ac:dyDescent="0.25">
      <c r="A40" s="81" t="s">
        <v>94</v>
      </c>
      <c r="B40" s="96">
        <v>2012</v>
      </c>
      <c r="C40" s="43" t="s">
        <v>8</v>
      </c>
      <c r="D40" s="99">
        <v>1.7811704834605369E-2</v>
      </c>
      <c r="E40" s="61">
        <f t="shared" si="3"/>
        <v>1.7811704834605369E-2</v>
      </c>
      <c r="F40" s="61">
        <f t="shared" si="3"/>
        <v>1.7811704834605369E-2</v>
      </c>
      <c r="G40" s="61">
        <f t="shared" si="3"/>
        <v>1.7811704834605369E-2</v>
      </c>
      <c r="H40" s="61">
        <f t="shared" si="3"/>
        <v>1.7811704834605369E-2</v>
      </c>
      <c r="I40" s="61">
        <f t="shared" si="3"/>
        <v>1.7811704834605369E-2</v>
      </c>
      <c r="J40" s="61">
        <f t="shared" si="3"/>
        <v>1.7811704834605369E-2</v>
      </c>
      <c r="K40" s="61">
        <f t="shared" si="3"/>
        <v>1.7811704834605369E-2</v>
      </c>
      <c r="L40" s="61">
        <f t="shared" si="3"/>
        <v>1.7811704834605369E-2</v>
      </c>
      <c r="M40" s="61">
        <f t="shared" si="3"/>
        <v>1.7811704834605369E-2</v>
      </c>
      <c r="N40" s="61">
        <f t="shared" si="3"/>
        <v>1.7811704834605369E-2</v>
      </c>
      <c r="O40" s="61">
        <f t="shared" si="4"/>
        <v>1.7811704834605369E-2</v>
      </c>
      <c r="P40" s="61">
        <f t="shared" si="4"/>
        <v>1.7811704834605369E-2</v>
      </c>
      <c r="Q40" s="61">
        <f t="shared" si="4"/>
        <v>1.7811704834605369E-2</v>
      </c>
      <c r="R40" s="61">
        <f t="shared" si="4"/>
        <v>1.7811704834605369E-2</v>
      </c>
      <c r="S40" s="61">
        <f t="shared" si="4"/>
        <v>1.7811704834605369E-2</v>
      </c>
      <c r="T40" s="61">
        <f t="shared" si="4"/>
        <v>1.7811704834605369E-2</v>
      </c>
      <c r="U40" s="61">
        <f t="shared" si="4"/>
        <v>1.7811704834605369E-2</v>
      </c>
      <c r="V40" s="68" t="s">
        <v>228</v>
      </c>
      <c r="X40" s="11" t="str">
        <f t="shared" si="5"/>
        <v>Forecast CPI change (2012 forecast) - November 2012 financial model 2012</v>
      </c>
    </row>
    <row r="41" spans="1:24" s="11" customFormat="1" x14ac:dyDescent="0.25">
      <c r="A41" s="81" t="s">
        <v>94</v>
      </c>
      <c r="B41" s="96">
        <v>2013</v>
      </c>
      <c r="C41" s="43" t="s">
        <v>8</v>
      </c>
      <c r="D41" s="99">
        <v>2.5401069518716568E-2</v>
      </c>
      <c r="E41" s="61">
        <f t="shared" si="3"/>
        <v>2.5401069518716568E-2</v>
      </c>
      <c r="F41" s="61">
        <f t="shared" si="3"/>
        <v>2.5401069518716568E-2</v>
      </c>
      <c r="G41" s="61">
        <f t="shared" si="3"/>
        <v>2.5401069518716568E-2</v>
      </c>
      <c r="H41" s="61">
        <f t="shared" si="3"/>
        <v>2.5401069518716568E-2</v>
      </c>
      <c r="I41" s="61">
        <f t="shared" si="3"/>
        <v>2.5401069518716568E-2</v>
      </c>
      <c r="J41" s="61">
        <f t="shared" si="3"/>
        <v>2.5401069518716568E-2</v>
      </c>
      <c r="K41" s="61">
        <f t="shared" si="3"/>
        <v>2.5401069518716568E-2</v>
      </c>
      <c r="L41" s="61">
        <f t="shared" si="3"/>
        <v>2.5401069518716568E-2</v>
      </c>
      <c r="M41" s="61">
        <f t="shared" si="3"/>
        <v>2.5401069518716568E-2</v>
      </c>
      <c r="N41" s="61">
        <f t="shared" si="3"/>
        <v>2.5401069518716568E-2</v>
      </c>
      <c r="O41" s="61">
        <f t="shared" si="4"/>
        <v>2.5401069518716568E-2</v>
      </c>
      <c r="P41" s="61">
        <f t="shared" si="4"/>
        <v>2.5401069518716568E-2</v>
      </c>
      <c r="Q41" s="61">
        <f t="shared" si="4"/>
        <v>2.5401069518716568E-2</v>
      </c>
      <c r="R41" s="61">
        <f t="shared" si="4"/>
        <v>2.5401069518716568E-2</v>
      </c>
      <c r="S41" s="61">
        <f t="shared" si="4"/>
        <v>2.5401069518716568E-2</v>
      </c>
      <c r="T41" s="61">
        <f t="shared" si="4"/>
        <v>2.5401069518716568E-2</v>
      </c>
      <c r="U41" s="61">
        <f t="shared" si="4"/>
        <v>2.5401069518716568E-2</v>
      </c>
      <c r="V41" s="68" t="s">
        <v>228</v>
      </c>
      <c r="X41" s="11" t="str">
        <f t="shared" si="5"/>
        <v>Forecast CPI change (2012 forecast) - November 2012 financial model 2013</v>
      </c>
    </row>
    <row r="42" spans="1:24" s="11" customFormat="1" x14ac:dyDescent="0.25">
      <c r="A42" s="81" t="s">
        <v>94</v>
      </c>
      <c r="B42" s="96">
        <v>2014</v>
      </c>
      <c r="C42" s="43" t="s">
        <v>8</v>
      </c>
      <c r="D42" s="99">
        <v>1.2820512820512775E-2</v>
      </c>
      <c r="E42" s="61">
        <f t="shared" si="3"/>
        <v>1.2820512820512775E-2</v>
      </c>
      <c r="F42" s="61">
        <f t="shared" si="3"/>
        <v>1.2820512820512775E-2</v>
      </c>
      <c r="G42" s="61">
        <f t="shared" si="3"/>
        <v>1.2820512820512775E-2</v>
      </c>
      <c r="H42" s="61">
        <f t="shared" si="3"/>
        <v>1.2820512820512775E-2</v>
      </c>
      <c r="I42" s="61">
        <f t="shared" si="3"/>
        <v>1.2820512820512775E-2</v>
      </c>
      <c r="J42" s="61">
        <f t="shared" si="3"/>
        <v>1.2820512820512775E-2</v>
      </c>
      <c r="K42" s="61">
        <f t="shared" si="3"/>
        <v>1.2820512820512775E-2</v>
      </c>
      <c r="L42" s="61">
        <f t="shared" si="3"/>
        <v>1.2820512820512775E-2</v>
      </c>
      <c r="M42" s="61">
        <f t="shared" si="3"/>
        <v>1.2820512820512775E-2</v>
      </c>
      <c r="N42" s="61">
        <f t="shared" si="3"/>
        <v>1.2820512820512775E-2</v>
      </c>
      <c r="O42" s="61">
        <f t="shared" si="4"/>
        <v>1.2820512820512775E-2</v>
      </c>
      <c r="P42" s="61">
        <f t="shared" si="4"/>
        <v>1.2820512820512775E-2</v>
      </c>
      <c r="Q42" s="61">
        <f t="shared" si="4"/>
        <v>1.2820512820512775E-2</v>
      </c>
      <c r="R42" s="61">
        <f t="shared" si="4"/>
        <v>1.2820512820512775E-2</v>
      </c>
      <c r="S42" s="61">
        <f t="shared" si="4"/>
        <v>1.2820512820512775E-2</v>
      </c>
      <c r="T42" s="61">
        <f t="shared" si="4"/>
        <v>1.2820512820512775E-2</v>
      </c>
      <c r="U42" s="61">
        <f t="shared" si="4"/>
        <v>1.2820512820512775E-2</v>
      </c>
      <c r="V42" s="68" t="s">
        <v>228</v>
      </c>
      <c r="X42" s="11" t="str">
        <f t="shared" si="5"/>
        <v>Forecast CPI change (2012 forecast) - November 2012 financial model 2014</v>
      </c>
    </row>
    <row r="43" spans="1:24" s="11" customFormat="1" x14ac:dyDescent="0.25">
      <c r="A43" s="81" t="s">
        <v>94</v>
      </c>
      <c r="B43" s="96">
        <v>2015</v>
      </c>
      <c r="C43" s="43" t="s">
        <v>8</v>
      </c>
      <c r="D43" s="99">
        <v>1.9725095732576747E-2</v>
      </c>
      <c r="E43" s="61">
        <f t="shared" si="3"/>
        <v>1.9725095732576747E-2</v>
      </c>
      <c r="F43" s="61">
        <f t="shared" si="3"/>
        <v>1.9725095732576747E-2</v>
      </c>
      <c r="G43" s="61">
        <f t="shared" si="3"/>
        <v>1.9725095732576747E-2</v>
      </c>
      <c r="H43" s="61">
        <f t="shared" si="3"/>
        <v>1.9725095732576747E-2</v>
      </c>
      <c r="I43" s="61">
        <f t="shared" si="3"/>
        <v>1.9725095732576747E-2</v>
      </c>
      <c r="J43" s="61">
        <f t="shared" si="3"/>
        <v>1.9725095732576747E-2</v>
      </c>
      <c r="K43" s="61">
        <f t="shared" si="3"/>
        <v>1.9725095732576747E-2</v>
      </c>
      <c r="L43" s="61">
        <f t="shared" si="3"/>
        <v>1.9725095732576747E-2</v>
      </c>
      <c r="M43" s="61">
        <f t="shared" si="3"/>
        <v>1.9725095732576747E-2</v>
      </c>
      <c r="N43" s="61">
        <f t="shared" si="3"/>
        <v>1.9725095732576747E-2</v>
      </c>
      <c r="O43" s="61">
        <f t="shared" si="4"/>
        <v>1.9725095732576747E-2</v>
      </c>
      <c r="P43" s="61">
        <f t="shared" si="4"/>
        <v>1.9725095732576747E-2</v>
      </c>
      <c r="Q43" s="61">
        <f t="shared" si="4"/>
        <v>1.9725095732576747E-2</v>
      </c>
      <c r="R43" s="61">
        <f t="shared" si="4"/>
        <v>1.9725095732576747E-2</v>
      </c>
      <c r="S43" s="61">
        <f t="shared" si="4"/>
        <v>1.9725095732576747E-2</v>
      </c>
      <c r="T43" s="61">
        <f t="shared" si="4"/>
        <v>1.9725095732576747E-2</v>
      </c>
      <c r="U43" s="61">
        <f t="shared" si="4"/>
        <v>1.9725095732576747E-2</v>
      </c>
      <c r="V43" s="68" t="s">
        <v>228</v>
      </c>
      <c r="X43" s="11" t="str">
        <f t="shared" si="5"/>
        <v>Forecast CPI change (2012 forecast) - November 2012 financial model 2015</v>
      </c>
    </row>
    <row r="44" spans="1:24" s="11" customFormat="1" x14ac:dyDescent="0.25">
      <c r="A44" s="41" t="s">
        <v>9</v>
      </c>
      <c r="B44" s="96">
        <v>2011</v>
      </c>
      <c r="C44" s="43" t="s">
        <v>10</v>
      </c>
      <c r="D44" s="99">
        <v>0</v>
      </c>
      <c r="E44" s="100">
        <v>5.4803237473893323E-3</v>
      </c>
      <c r="F44" s="100">
        <v>6.4726399189891882E-3</v>
      </c>
      <c r="G44" s="100">
        <v>-2.5500588774990756E-3</v>
      </c>
      <c r="H44" s="100">
        <v>-2.2495067489118406E-3</v>
      </c>
      <c r="I44" s="100">
        <v>1.598939416406641E-2</v>
      </c>
      <c r="J44" s="100">
        <v>-1.1456926475380026E-3</v>
      </c>
      <c r="K44" s="100">
        <v>-6.3921843140435754E-4</v>
      </c>
      <c r="L44" s="100">
        <v>5.2828068935345121E-3</v>
      </c>
      <c r="M44" s="100">
        <v>5.9734074574071209E-3</v>
      </c>
      <c r="N44" s="37"/>
      <c r="O44" s="100">
        <v>3.0042551825458278E-3</v>
      </c>
      <c r="P44" s="100">
        <v>5.0885795365812458E-3</v>
      </c>
      <c r="Q44" s="100">
        <v>-4.7755866874985356E-4</v>
      </c>
      <c r="R44" s="100">
        <v>3.0771502015654343E-3</v>
      </c>
      <c r="S44" s="100">
        <v>4.9586501062375715E-4</v>
      </c>
      <c r="T44" s="100">
        <v>1.6719424191413187E-2</v>
      </c>
      <c r="U44" s="100">
        <v>8.090127732655595E-3</v>
      </c>
      <c r="V44" s="68" t="s">
        <v>228</v>
      </c>
      <c r="X44" s="11" t="str">
        <f t="shared" si="5"/>
        <v>Forecast CPRG 2011</v>
      </c>
    </row>
    <row r="45" spans="1:24" s="11" customFormat="1" x14ac:dyDescent="0.25">
      <c r="A45" s="41" t="s">
        <v>9</v>
      </c>
      <c r="B45" s="96">
        <v>2012</v>
      </c>
      <c r="C45" s="43" t="s">
        <v>10</v>
      </c>
      <c r="D45" s="99">
        <v>0</v>
      </c>
      <c r="E45" s="100">
        <v>5.4803237473893323E-3</v>
      </c>
      <c r="F45" s="100">
        <v>6.4726399189891882E-3</v>
      </c>
      <c r="G45" s="100">
        <v>-2.5500588774990756E-3</v>
      </c>
      <c r="H45" s="100">
        <v>-2.2495067489118406E-3</v>
      </c>
      <c r="I45" s="100">
        <v>1.598939416406641E-2</v>
      </c>
      <c r="J45" s="100">
        <v>-1.1456926475380026E-3</v>
      </c>
      <c r="K45" s="100">
        <v>-6.3921843140435754E-4</v>
      </c>
      <c r="L45" s="100">
        <v>5.2828068935345121E-3</v>
      </c>
      <c r="M45" s="100">
        <v>5.9734074574071209E-3</v>
      </c>
      <c r="N45" s="37"/>
      <c r="O45" s="100">
        <v>3.0042551825458278E-3</v>
      </c>
      <c r="P45" s="100">
        <v>5.0885795365812458E-3</v>
      </c>
      <c r="Q45" s="100">
        <v>-4.7755866874985356E-4</v>
      </c>
      <c r="R45" s="100">
        <v>3.0771502015654343E-3</v>
      </c>
      <c r="S45" s="100">
        <v>4.9586501062375715E-4</v>
      </c>
      <c r="T45" s="100">
        <v>1.6719424191413187E-2</v>
      </c>
      <c r="U45" s="100">
        <v>8.090127732655595E-3</v>
      </c>
      <c r="V45" s="68" t="s">
        <v>228</v>
      </c>
      <c r="X45" s="11" t="str">
        <f t="shared" si="5"/>
        <v>Forecast CPRG 2012</v>
      </c>
    </row>
    <row r="46" spans="1:24" s="11" customFormat="1" x14ac:dyDescent="0.25">
      <c r="A46" s="41" t="s">
        <v>9</v>
      </c>
      <c r="B46" s="96">
        <v>2013</v>
      </c>
      <c r="C46" s="43" t="s">
        <v>10</v>
      </c>
      <c r="D46" s="99">
        <v>0</v>
      </c>
      <c r="E46" s="100">
        <v>5.4803237473893323E-3</v>
      </c>
      <c r="F46" s="100">
        <v>6.4726399189891882E-3</v>
      </c>
      <c r="G46" s="100">
        <v>-2.5500588774990756E-3</v>
      </c>
      <c r="H46" s="100">
        <v>-2.2495067489118406E-3</v>
      </c>
      <c r="I46" s="100">
        <v>1.598939416406641E-2</v>
      </c>
      <c r="J46" s="100">
        <v>-1.1456926475380026E-3</v>
      </c>
      <c r="K46" s="100">
        <v>-6.3921843140435754E-4</v>
      </c>
      <c r="L46" s="100">
        <v>5.2828068935345121E-3</v>
      </c>
      <c r="M46" s="100">
        <v>5.9734074574071209E-3</v>
      </c>
      <c r="N46" s="37"/>
      <c r="O46" s="100">
        <v>3.0042551825458278E-3</v>
      </c>
      <c r="P46" s="100">
        <v>5.0885795365812458E-3</v>
      </c>
      <c r="Q46" s="100">
        <v>-4.7755866874985356E-4</v>
      </c>
      <c r="R46" s="100">
        <v>3.0771502015654343E-3</v>
      </c>
      <c r="S46" s="100">
        <v>4.9586501062375715E-4</v>
      </c>
      <c r="T46" s="100">
        <v>1.6719424191413187E-2</v>
      </c>
      <c r="U46" s="100">
        <v>8.090127732655595E-3</v>
      </c>
      <c r="V46" s="68" t="s">
        <v>228</v>
      </c>
      <c r="X46" s="11" t="str">
        <f t="shared" si="5"/>
        <v>Forecast CPRG 2013</v>
      </c>
    </row>
    <row r="47" spans="1:24" s="11" customFormat="1" x14ac:dyDescent="0.25">
      <c r="A47" s="41" t="s">
        <v>9</v>
      </c>
      <c r="B47" s="96">
        <v>2014</v>
      </c>
      <c r="C47" s="43" t="s">
        <v>10</v>
      </c>
      <c r="D47" s="99">
        <v>0</v>
      </c>
      <c r="E47" s="100">
        <v>5.4803237473893323E-3</v>
      </c>
      <c r="F47" s="100">
        <v>6.4726399189891882E-3</v>
      </c>
      <c r="G47" s="100">
        <v>-2.5500588774990756E-3</v>
      </c>
      <c r="H47" s="100">
        <v>-2.2495067489118406E-3</v>
      </c>
      <c r="I47" s="100">
        <v>1.598939416406641E-2</v>
      </c>
      <c r="J47" s="100">
        <v>-1.1456926475380026E-3</v>
      </c>
      <c r="K47" s="100">
        <v>-6.3921843140435754E-4</v>
      </c>
      <c r="L47" s="100">
        <v>5.2828068935345121E-3</v>
      </c>
      <c r="M47" s="100">
        <v>5.9734074574071209E-3</v>
      </c>
      <c r="N47" s="37"/>
      <c r="O47" s="100">
        <v>3.0042551825458278E-3</v>
      </c>
      <c r="P47" s="100">
        <v>5.0885795365812458E-3</v>
      </c>
      <c r="Q47" s="100">
        <v>-4.7755866874985356E-4</v>
      </c>
      <c r="R47" s="100">
        <v>3.0771502015654343E-3</v>
      </c>
      <c r="S47" s="100">
        <v>4.9586501062375715E-4</v>
      </c>
      <c r="T47" s="100">
        <v>1.6719424191413187E-2</v>
      </c>
      <c r="U47" s="100">
        <v>8.090127732655595E-3</v>
      </c>
      <c r="V47" s="68" t="s">
        <v>228</v>
      </c>
      <c r="X47" s="11" t="str">
        <f t="shared" si="5"/>
        <v>Forecast CPRG 2014</v>
      </c>
    </row>
    <row r="48" spans="1:24" s="11" customFormat="1" x14ac:dyDescent="0.25">
      <c r="A48" s="41" t="s">
        <v>9</v>
      </c>
      <c r="B48" s="96">
        <v>2015</v>
      </c>
      <c r="C48" s="43" t="s">
        <v>10</v>
      </c>
      <c r="D48" s="99">
        <v>0</v>
      </c>
      <c r="E48" s="100">
        <v>5.4803237473893323E-3</v>
      </c>
      <c r="F48" s="100">
        <v>6.4726399189891882E-3</v>
      </c>
      <c r="G48" s="100">
        <v>-2.5500588774990756E-3</v>
      </c>
      <c r="H48" s="100">
        <v>-2.2495067489118406E-3</v>
      </c>
      <c r="I48" s="100">
        <v>1.598939416406641E-2</v>
      </c>
      <c r="J48" s="100">
        <v>-1.1456926475380026E-3</v>
      </c>
      <c r="K48" s="100">
        <v>-6.3921843140435754E-4</v>
      </c>
      <c r="L48" s="100">
        <v>5.2828068935345121E-3</v>
      </c>
      <c r="M48" s="100">
        <v>5.9734074574071209E-3</v>
      </c>
      <c r="N48" s="37"/>
      <c r="O48" s="100">
        <v>3.0042551825458278E-3</v>
      </c>
      <c r="P48" s="100">
        <v>5.0885795365812458E-3</v>
      </c>
      <c r="Q48" s="100">
        <v>-4.7755866874985356E-4</v>
      </c>
      <c r="R48" s="100">
        <v>3.0771502015654343E-3</v>
      </c>
      <c r="S48" s="100">
        <v>4.9586501062375715E-4</v>
      </c>
      <c r="T48" s="100">
        <v>1.6719424191413187E-2</v>
      </c>
      <c r="U48" s="100">
        <v>8.090127732655595E-3</v>
      </c>
      <c r="V48" s="68" t="s">
        <v>228</v>
      </c>
      <c r="X48" s="11" t="str">
        <f t="shared" si="5"/>
        <v>Forecast CPRG 2015</v>
      </c>
    </row>
    <row r="49" spans="1:24" s="11" customFormat="1" x14ac:dyDescent="0.25">
      <c r="A49" s="41" t="s">
        <v>7</v>
      </c>
      <c r="B49" s="96">
        <v>2011</v>
      </c>
      <c r="C49" s="43" t="s">
        <v>8</v>
      </c>
      <c r="D49" s="100">
        <v>2.4650391087935531E-2</v>
      </c>
      <c r="E49" s="61">
        <f t="shared" ref="E49:T57" si="6">$D49</f>
        <v>2.4650391087935531E-2</v>
      </c>
      <c r="F49" s="61">
        <f t="shared" si="6"/>
        <v>2.4650391087935531E-2</v>
      </c>
      <c r="G49" s="61">
        <f t="shared" si="6"/>
        <v>2.4650391087935531E-2</v>
      </c>
      <c r="H49" s="61">
        <f t="shared" si="6"/>
        <v>2.4650391087935531E-2</v>
      </c>
      <c r="I49" s="61">
        <f t="shared" si="6"/>
        <v>2.4650391087935531E-2</v>
      </c>
      <c r="J49" s="61">
        <f t="shared" si="6"/>
        <v>2.4650391087935531E-2</v>
      </c>
      <c r="K49" s="61">
        <f t="shared" si="6"/>
        <v>2.4650391087935531E-2</v>
      </c>
      <c r="L49" s="61">
        <f t="shared" si="6"/>
        <v>2.4650391087935531E-2</v>
      </c>
      <c r="M49" s="61">
        <f t="shared" si="6"/>
        <v>2.4650391087935531E-2</v>
      </c>
      <c r="N49" s="61">
        <f t="shared" si="6"/>
        <v>2.4650391087935531E-2</v>
      </c>
      <c r="O49" s="61">
        <f t="shared" ref="F49:U57" si="7">$D49</f>
        <v>2.4650391087935531E-2</v>
      </c>
      <c r="P49" s="61">
        <f t="shared" si="7"/>
        <v>2.4650391087935531E-2</v>
      </c>
      <c r="Q49" s="61">
        <f t="shared" si="7"/>
        <v>2.4650391087935531E-2</v>
      </c>
      <c r="R49" s="61">
        <f t="shared" si="7"/>
        <v>2.4650391087935531E-2</v>
      </c>
      <c r="S49" s="61">
        <f t="shared" si="7"/>
        <v>2.4650391087935531E-2</v>
      </c>
      <c r="T49" s="61">
        <f t="shared" si="7"/>
        <v>2.4650391087935531E-2</v>
      </c>
      <c r="U49" s="61">
        <f t="shared" si="7"/>
        <v>2.4650391087935531E-2</v>
      </c>
      <c r="V49" s="67" t="s">
        <v>229</v>
      </c>
      <c r="X49" s="11" t="str">
        <f t="shared" si="5"/>
        <v>CPI adjustments allowed under previous determination 2011</v>
      </c>
    </row>
    <row r="50" spans="1:24" s="11" customFormat="1" x14ac:dyDescent="0.25">
      <c r="A50" s="41" t="s">
        <v>7</v>
      </c>
      <c r="B50" s="96">
        <v>2012</v>
      </c>
      <c r="C50" s="43" t="s">
        <v>8</v>
      </c>
      <c r="D50" s="100">
        <v>1.7811704834605598E-2</v>
      </c>
      <c r="E50" s="61">
        <f t="shared" si="6"/>
        <v>1.7811704834605598E-2</v>
      </c>
      <c r="F50" s="61">
        <f t="shared" si="6"/>
        <v>1.7811704834605598E-2</v>
      </c>
      <c r="G50" s="61">
        <f t="shared" si="6"/>
        <v>1.7811704834605598E-2</v>
      </c>
      <c r="H50" s="61">
        <f t="shared" si="6"/>
        <v>1.7811704834605598E-2</v>
      </c>
      <c r="I50" s="61">
        <f t="shared" si="6"/>
        <v>1.7811704834605598E-2</v>
      </c>
      <c r="J50" s="61">
        <f t="shared" si="6"/>
        <v>1.7811704834605598E-2</v>
      </c>
      <c r="K50" s="61">
        <f t="shared" si="6"/>
        <v>1.7811704834605598E-2</v>
      </c>
      <c r="L50" s="61">
        <f t="shared" si="6"/>
        <v>1.7811704834605598E-2</v>
      </c>
      <c r="M50" s="61">
        <f t="shared" si="6"/>
        <v>1.7811704834605598E-2</v>
      </c>
      <c r="N50" s="61">
        <f t="shared" si="6"/>
        <v>1.7811704834605598E-2</v>
      </c>
      <c r="O50" s="61">
        <f t="shared" si="7"/>
        <v>1.7811704834605598E-2</v>
      </c>
      <c r="P50" s="61">
        <f t="shared" si="7"/>
        <v>1.7811704834605598E-2</v>
      </c>
      <c r="Q50" s="61">
        <f t="shared" si="7"/>
        <v>1.7811704834605598E-2</v>
      </c>
      <c r="R50" s="61">
        <f t="shared" si="7"/>
        <v>1.7811704834605598E-2</v>
      </c>
      <c r="S50" s="61">
        <f t="shared" si="7"/>
        <v>1.7811704834605598E-2</v>
      </c>
      <c r="T50" s="61">
        <f t="shared" si="7"/>
        <v>1.7811704834605598E-2</v>
      </c>
      <c r="U50" s="61">
        <f t="shared" si="7"/>
        <v>1.7811704834605598E-2</v>
      </c>
      <c r="V50" s="67" t="s">
        <v>229</v>
      </c>
      <c r="X50" s="11" t="str">
        <f t="shared" si="5"/>
        <v>CPI adjustments allowed under previous determination 2012</v>
      </c>
    </row>
    <row r="51" spans="1:24" s="11" customFormat="1" x14ac:dyDescent="0.25">
      <c r="A51" s="41" t="s">
        <v>7</v>
      </c>
      <c r="B51" s="96">
        <v>2013</v>
      </c>
      <c r="C51" s="43" t="s">
        <v>8</v>
      </c>
      <c r="D51" s="100">
        <v>4.5909090909090906E-2</v>
      </c>
      <c r="E51" s="61">
        <f t="shared" si="6"/>
        <v>4.5909090909090906E-2</v>
      </c>
      <c r="F51" s="61">
        <f t="shared" si="6"/>
        <v>4.5909090909090906E-2</v>
      </c>
      <c r="G51" s="61">
        <f t="shared" si="6"/>
        <v>4.5909090909090906E-2</v>
      </c>
      <c r="H51" s="61">
        <f t="shared" si="6"/>
        <v>4.5909090909090906E-2</v>
      </c>
      <c r="I51" s="61">
        <f t="shared" si="6"/>
        <v>4.5909090909090906E-2</v>
      </c>
      <c r="J51" s="61">
        <f t="shared" si="6"/>
        <v>4.5909090909090906E-2</v>
      </c>
      <c r="K51" s="61">
        <f t="shared" si="6"/>
        <v>4.5909090909090906E-2</v>
      </c>
      <c r="L51" s="61">
        <f t="shared" si="6"/>
        <v>4.5909090909090906E-2</v>
      </c>
      <c r="M51" s="61">
        <f t="shared" si="6"/>
        <v>4.5909090909090906E-2</v>
      </c>
      <c r="N51" s="61">
        <f t="shared" si="6"/>
        <v>4.5909090909090906E-2</v>
      </c>
      <c r="O51" s="61">
        <f t="shared" si="7"/>
        <v>4.5909090909090906E-2</v>
      </c>
      <c r="P51" s="61">
        <f t="shared" si="7"/>
        <v>4.5909090909090906E-2</v>
      </c>
      <c r="Q51" s="61">
        <f t="shared" si="7"/>
        <v>4.5909090909090906E-2</v>
      </c>
      <c r="R51" s="61">
        <f t="shared" si="7"/>
        <v>4.5909090909090906E-2</v>
      </c>
      <c r="S51" s="61">
        <f t="shared" si="7"/>
        <v>4.5909090909090906E-2</v>
      </c>
      <c r="T51" s="61">
        <f t="shared" si="7"/>
        <v>4.5909090909090906E-2</v>
      </c>
      <c r="U51" s="61">
        <f t="shared" si="7"/>
        <v>4.5909090909090906E-2</v>
      </c>
      <c r="V51" s="67" t="s">
        <v>229</v>
      </c>
      <c r="X51" s="11" t="str">
        <f t="shared" si="5"/>
        <v>CPI adjustments allowed under previous determination 2013</v>
      </c>
    </row>
    <row r="52" spans="1:24" s="11" customFormat="1" x14ac:dyDescent="0.25">
      <c r="A52" s="41" t="s">
        <v>7</v>
      </c>
      <c r="B52" s="96">
        <v>2014</v>
      </c>
      <c r="C52" s="43" t="s">
        <v>8</v>
      </c>
      <c r="D52" s="100">
        <v>1.282051282051282E-2</v>
      </c>
      <c r="E52" s="61">
        <f t="shared" si="6"/>
        <v>1.282051282051282E-2</v>
      </c>
      <c r="F52" s="61">
        <f t="shared" si="6"/>
        <v>1.282051282051282E-2</v>
      </c>
      <c r="G52" s="61">
        <f t="shared" si="6"/>
        <v>1.282051282051282E-2</v>
      </c>
      <c r="H52" s="61">
        <f t="shared" si="6"/>
        <v>1.282051282051282E-2</v>
      </c>
      <c r="I52" s="61">
        <f t="shared" si="6"/>
        <v>1.282051282051282E-2</v>
      </c>
      <c r="J52" s="61">
        <f t="shared" si="6"/>
        <v>1.282051282051282E-2</v>
      </c>
      <c r="K52" s="61">
        <f t="shared" si="6"/>
        <v>1.282051282051282E-2</v>
      </c>
      <c r="L52" s="61">
        <f t="shared" si="6"/>
        <v>1.282051282051282E-2</v>
      </c>
      <c r="M52" s="61">
        <f t="shared" si="6"/>
        <v>1.282051282051282E-2</v>
      </c>
      <c r="N52" s="61">
        <f t="shared" si="6"/>
        <v>1.282051282051282E-2</v>
      </c>
      <c r="O52" s="61">
        <f t="shared" si="7"/>
        <v>1.282051282051282E-2</v>
      </c>
      <c r="P52" s="61">
        <f t="shared" si="7"/>
        <v>1.282051282051282E-2</v>
      </c>
      <c r="Q52" s="61">
        <f t="shared" si="7"/>
        <v>1.282051282051282E-2</v>
      </c>
      <c r="R52" s="61">
        <f t="shared" si="7"/>
        <v>1.282051282051282E-2</v>
      </c>
      <c r="S52" s="61">
        <f t="shared" si="7"/>
        <v>1.282051282051282E-2</v>
      </c>
      <c r="T52" s="61">
        <f t="shared" si="7"/>
        <v>1.282051282051282E-2</v>
      </c>
      <c r="U52" s="61">
        <f t="shared" si="7"/>
        <v>1.282051282051282E-2</v>
      </c>
      <c r="V52" s="67" t="s">
        <v>229</v>
      </c>
      <c r="X52" s="11" t="str">
        <f t="shared" si="5"/>
        <v>CPI adjustments allowed under previous determination 2014</v>
      </c>
    </row>
    <row r="53" spans="1:24" s="11" customFormat="1" x14ac:dyDescent="0.25">
      <c r="A53" s="41" t="s">
        <v>7</v>
      </c>
      <c r="B53" s="96">
        <v>2015</v>
      </c>
      <c r="C53" s="43" t="s">
        <v>8</v>
      </c>
      <c r="D53" s="100">
        <v>9.6545805621111348E-3</v>
      </c>
      <c r="E53" s="61">
        <f t="shared" si="6"/>
        <v>9.6545805621111348E-3</v>
      </c>
      <c r="F53" s="61">
        <f t="shared" si="6"/>
        <v>9.6545805621111348E-3</v>
      </c>
      <c r="G53" s="61">
        <f t="shared" si="6"/>
        <v>9.6545805621111348E-3</v>
      </c>
      <c r="H53" s="61">
        <f t="shared" si="6"/>
        <v>9.6545805621111348E-3</v>
      </c>
      <c r="I53" s="61">
        <f t="shared" si="6"/>
        <v>9.6545805621111348E-3</v>
      </c>
      <c r="J53" s="61">
        <f t="shared" si="6"/>
        <v>9.6545805621111348E-3</v>
      </c>
      <c r="K53" s="61">
        <f t="shared" si="6"/>
        <v>9.6545805621111348E-3</v>
      </c>
      <c r="L53" s="61">
        <f t="shared" si="6"/>
        <v>9.6545805621111348E-3</v>
      </c>
      <c r="M53" s="61">
        <f t="shared" si="6"/>
        <v>9.6545805621111348E-3</v>
      </c>
      <c r="N53" s="61">
        <f t="shared" si="6"/>
        <v>9.6545805621111348E-3</v>
      </c>
      <c r="O53" s="61">
        <f t="shared" si="6"/>
        <v>9.6545805621111348E-3</v>
      </c>
      <c r="P53" s="61">
        <f t="shared" si="6"/>
        <v>9.6545805621111348E-3</v>
      </c>
      <c r="Q53" s="61">
        <f t="shared" si="6"/>
        <v>9.6545805621111348E-3</v>
      </c>
      <c r="R53" s="61">
        <f t="shared" si="6"/>
        <v>9.6545805621111348E-3</v>
      </c>
      <c r="S53" s="61">
        <f t="shared" si="6"/>
        <v>9.6545805621111348E-3</v>
      </c>
      <c r="T53" s="61">
        <f t="shared" si="6"/>
        <v>9.6545805621111348E-3</v>
      </c>
      <c r="U53" s="61">
        <f t="shared" si="7"/>
        <v>9.6545805621111348E-3</v>
      </c>
      <c r="V53" s="67" t="s">
        <v>229</v>
      </c>
      <c r="X53" s="11" t="str">
        <f t="shared" si="5"/>
        <v>CPI adjustments allowed under previous determination 2015</v>
      </c>
    </row>
    <row r="54" spans="1:24" s="11" customFormat="1" x14ac:dyDescent="0.25">
      <c r="A54" s="81" t="s">
        <v>95</v>
      </c>
      <c r="B54" s="96">
        <v>2012</v>
      </c>
      <c r="C54" s="43" t="s">
        <v>8</v>
      </c>
      <c r="D54" s="100">
        <v>1.6991832174541255E-2</v>
      </c>
      <c r="E54" s="61">
        <f t="shared" si="6"/>
        <v>1.6991832174541255E-2</v>
      </c>
      <c r="F54" s="61">
        <f t="shared" si="7"/>
        <v>1.6991832174541255E-2</v>
      </c>
      <c r="G54" s="61">
        <f t="shared" si="7"/>
        <v>1.6991832174541255E-2</v>
      </c>
      <c r="H54" s="61">
        <f t="shared" si="7"/>
        <v>1.6991832174541255E-2</v>
      </c>
      <c r="I54" s="61">
        <f t="shared" si="7"/>
        <v>1.6991832174541255E-2</v>
      </c>
      <c r="J54" s="61">
        <f t="shared" si="7"/>
        <v>1.6991832174541255E-2</v>
      </c>
      <c r="K54" s="61">
        <f t="shared" si="7"/>
        <v>1.6991832174541255E-2</v>
      </c>
      <c r="L54" s="61">
        <f t="shared" si="7"/>
        <v>1.6991832174541255E-2</v>
      </c>
      <c r="M54" s="61">
        <f t="shared" si="7"/>
        <v>1.6991832174541255E-2</v>
      </c>
      <c r="N54" s="61">
        <f t="shared" si="7"/>
        <v>1.6991832174541255E-2</v>
      </c>
      <c r="O54" s="61">
        <f t="shared" si="7"/>
        <v>1.6991832174541255E-2</v>
      </c>
      <c r="P54" s="61">
        <f t="shared" si="7"/>
        <v>1.6991832174541255E-2</v>
      </c>
      <c r="Q54" s="61">
        <f t="shared" si="7"/>
        <v>1.6991832174541255E-2</v>
      </c>
      <c r="R54" s="61">
        <f t="shared" si="7"/>
        <v>1.6991832174541255E-2</v>
      </c>
      <c r="S54" s="61">
        <f t="shared" si="7"/>
        <v>1.6991832174541255E-2</v>
      </c>
      <c r="T54" s="61">
        <f t="shared" si="7"/>
        <v>1.6991832174541255E-2</v>
      </c>
      <c r="U54" s="61">
        <f t="shared" si="7"/>
        <v>1.6991832174541255E-2</v>
      </c>
      <c r="V54" s="68" t="s">
        <v>228</v>
      </c>
      <c r="X54" s="11" t="str">
        <f t="shared" si="5"/>
        <v>Forecast CPI change (2009 forecast) - November 2012 financial model 2012</v>
      </c>
    </row>
    <row r="55" spans="1:24" s="11" customFormat="1" x14ac:dyDescent="0.25">
      <c r="A55" s="81" t="s">
        <v>95</v>
      </c>
      <c r="B55" s="96">
        <v>2013</v>
      </c>
      <c r="C55" s="43" t="s">
        <v>8</v>
      </c>
      <c r="D55" s="100">
        <v>2.0741514169093644E-2</v>
      </c>
      <c r="E55" s="61">
        <f t="shared" si="6"/>
        <v>2.0741514169093644E-2</v>
      </c>
      <c r="F55" s="61">
        <f t="shared" si="7"/>
        <v>2.0741514169093644E-2</v>
      </c>
      <c r="G55" s="61">
        <f t="shared" si="7"/>
        <v>2.0741514169093644E-2</v>
      </c>
      <c r="H55" s="61">
        <f t="shared" si="7"/>
        <v>2.0741514169093644E-2</v>
      </c>
      <c r="I55" s="61">
        <f t="shared" si="7"/>
        <v>2.0741514169093644E-2</v>
      </c>
      <c r="J55" s="61">
        <f t="shared" si="7"/>
        <v>2.0741514169093644E-2</v>
      </c>
      <c r="K55" s="61">
        <f t="shared" si="7"/>
        <v>2.0741514169093644E-2</v>
      </c>
      <c r="L55" s="61">
        <f t="shared" si="7"/>
        <v>2.0741514169093644E-2</v>
      </c>
      <c r="M55" s="61">
        <f t="shared" si="7"/>
        <v>2.0741514169093644E-2</v>
      </c>
      <c r="N55" s="61">
        <f t="shared" si="7"/>
        <v>2.0741514169093644E-2</v>
      </c>
      <c r="O55" s="61">
        <f t="shared" si="7"/>
        <v>2.0741514169093644E-2</v>
      </c>
      <c r="P55" s="61">
        <f t="shared" si="7"/>
        <v>2.0741514169093644E-2</v>
      </c>
      <c r="Q55" s="61">
        <f t="shared" si="7"/>
        <v>2.0741514169093644E-2</v>
      </c>
      <c r="R55" s="61">
        <f t="shared" si="7"/>
        <v>2.0741514169093644E-2</v>
      </c>
      <c r="S55" s="61">
        <f t="shared" si="7"/>
        <v>2.0741514169093644E-2</v>
      </c>
      <c r="T55" s="61">
        <f t="shared" si="7"/>
        <v>2.0741514169093644E-2</v>
      </c>
      <c r="U55" s="61">
        <f t="shared" si="7"/>
        <v>2.0741514169093644E-2</v>
      </c>
      <c r="V55" s="68" t="s">
        <v>228</v>
      </c>
      <c r="X55" s="11" t="str">
        <f t="shared" si="5"/>
        <v>Forecast CPI change (2009 forecast) - November 2012 financial model 2013</v>
      </c>
    </row>
    <row r="56" spans="1:24" s="11" customFormat="1" x14ac:dyDescent="0.25">
      <c r="A56" s="81" t="s">
        <v>95</v>
      </c>
      <c r="B56" s="96">
        <v>2014</v>
      </c>
      <c r="C56" s="43" t="s">
        <v>8</v>
      </c>
      <c r="D56" s="100">
        <v>2.3759818812291389E-2</v>
      </c>
      <c r="E56" s="61">
        <f t="shared" si="6"/>
        <v>2.3759818812291389E-2</v>
      </c>
      <c r="F56" s="61">
        <f t="shared" si="7"/>
        <v>2.3759818812291389E-2</v>
      </c>
      <c r="G56" s="61">
        <f t="shared" si="7"/>
        <v>2.3759818812291389E-2</v>
      </c>
      <c r="H56" s="61">
        <f t="shared" si="7"/>
        <v>2.3759818812291389E-2</v>
      </c>
      <c r="I56" s="61">
        <f t="shared" si="7"/>
        <v>2.3759818812291389E-2</v>
      </c>
      <c r="J56" s="61">
        <f t="shared" si="7"/>
        <v>2.3759818812291389E-2</v>
      </c>
      <c r="K56" s="61">
        <f t="shared" si="7"/>
        <v>2.3759818812291389E-2</v>
      </c>
      <c r="L56" s="61">
        <f t="shared" si="7"/>
        <v>2.3759818812291389E-2</v>
      </c>
      <c r="M56" s="61">
        <f t="shared" si="7"/>
        <v>2.3759818812291389E-2</v>
      </c>
      <c r="N56" s="61">
        <f t="shared" si="7"/>
        <v>2.3759818812291389E-2</v>
      </c>
      <c r="O56" s="61">
        <f t="shared" si="7"/>
        <v>2.3759818812291389E-2</v>
      </c>
      <c r="P56" s="61">
        <f t="shared" si="7"/>
        <v>2.3759818812291389E-2</v>
      </c>
      <c r="Q56" s="61">
        <f t="shared" si="7"/>
        <v>2.3759818812291389E-2</v>
      </c>
      <c r="R56" s="61">
        <f t="shared" si="7"/>
        <v>2.3759818812291389E-2</v>
      </c>
      <c r="S56" s="61">
        <f t="shared" si="7"/>
        <v>2.3759818812291389E-2</v>
      </c>
      <c r="T56" s="61">
        <f t="shared" si="7"/>
        <v>2.3759818812291389E-2</v>
      </c>
      <c r="U56" s="61">
        <f t="shared" si="7"/>
        <v>2.3759818812291389E-2</v>
      </c>
      <c r="V56" s="68" t="s">
        <v>228</v>
      </c>
      <c r="X56" s="11" t="str">
        <f t="shared" si="5"/>
        <v>Forecast CPI change (2009 forecast) - November 2012 financial model 2014</v>
      </c>
    </row>
    <row r="57" spans="1:24" s="11" customFormat="1" x14ac:dyDescent="0.25">
      <c r="A57" s="81" t="s">
        <v>95</v>
      </c>
      <c r="B57" s="96">
        <v>2015</v>
      </c>
      <c r="C57" s="43" t="s">
        <v>8</v>
      </c>
      <c r="D57" s="100">
        <v>2.2164443909808984E-2</v>
      </c>
      <c r="E57" s="61">
        <f t="shared" si="6"/>
        <v>2.2164443909808984E-2</v>
      </c>
      <c r="F57" s="61">
        <f t="shared" si="7"/>
        <v>2.2164443909808984E-2</v>
      </c>
      <c r="G57" s="61">
        <f t="shared" si="7"/>
        <v>2.2164443909808984E-2</v>
      </c>
      <c r="H57" s="61">
        <f t="shared" si="7"/>
        <v>2.2164443909808984E-2</v>
      </c>
      <c r="I57" s="61">
        <f t="shared" si="7"/>
        <v>2.2164443909808984E-2</v>
      </c>
      <c r="J57" s="61">
        <f t="shared" si="7"/>
        <v>2.2164443909808984E-2</v>
      </c>
      <c r="K57" s="61">
        <f t="shared" si="7"/>
        <v>2.2164443909808984E-2</v>
      </c>
      <c r="L57" s="61">
        <f t="shared" si="7"/>
        <v>2.2164443909808984E-2</v>
      </c>
      <c r="M57" s="61">
        <f t="shared" si="7"/>
        <v>2.2164443909808984E-2</v>
      </c>
      <c r="N57" s="61">
        <f t="shared" si="7"/>
        <v>2.2164443909808984E-2</v>
      </c>
      <c r="O57" s="61">
        <f t="shared" si="7"/>
        <v>2.2164443909808984E-2</v>
      </c>
      <c r="P57" s="61">
        <f t="shared" si="7"/>
        <v>2.2164443909808984E-2</v>
      </c>
      <c r="Q57" s="61">
        <f t="shared" si="7"/>
        <v>2.2164443909808984E-2</v>
      </c>
      <c r="R57" s="61">
        <f t="shared" si="7"/>
        <v>2.2164443909808984E-2</v>
      </c>
      <c r="S57" s="61">
        <f t="shared" si="7"/>
        <v>2.2164443909808984E-2</v>
      </c>
      <c r="T57" s="61">
        <f t="shared" si="7"/>
        <v>2.2164443909808984E-2</v>
      </c>
      <c r="U57" s="61">
        <f t="shared" si="7"/>
        <v>2.2164443909808984E-2</v>
      </c>
      <c r="V57" s="68" t="s">
        <v>228</v>
      </c>
      <c r="X57" s="11" t="str">
        <f t="shared" si="5"/>
        <v>Forecast CPI change (2009 forecast) - November 2012 financial model 2015</v>
      </c>
    </row>
    <row r="58" spans="1:24" s="11" customFormat="1" x14ac:dyDescent="0.25">
      <c r="A58" s="41" t="s">
        <v>96</v>
      </c>
      <c r="B58" s="96">
        <v>2013</v>
      </c>
      <c r="C58" s="43" t="s">
        <v>10</v>
      </c>
      <c r="D58" s="100">
        <v>0</v>
      </c>
      <c r="E58" s="95">
        <v>36270.712131340522</v>
      </c>
      <c r="F58" s="95">
        <v>56441.842061854717</v>
      </c>
      <c r="G58" s="95">
        <v>9630.4886628512395</v>
      </c>
      <c r="H58" s="95">
        <v>20977.996031760449</v>
      </c>
      <c r="I58" s="95">
        <v>28948.51117976959</v>
      </c>
      <c r="J58" s="95">
        <v>13165.580869671277</v>
      </c>
      <c r="K58" s="95">
        <v>20649.049140429663</v>
      </c>
      <c r="L58" s="95">
        <v>7066.6857318134444</v>
      </c>
      <c r="M58" s="95">
        <v>28402.093665892455</v>
      </c>
      <c r="N58" s="113"/>
      <c r="O58" s="95">
        <v>24372.108518493362</v>
      </c>
      <c r="P58" s="95">
        <v>242027.70068293621</v>
      </c>
      <c r="Q58" s="95">
        <v>32404.169387547645</v>
      </c>
      <c r="R58" s="95">
        <v>33885.994862213578</v>
      </c>
      <c r="S58" s="95">
        <v>93893.367425859469</v>
      </c>
      <c r="T58" s="95">
        <v>404717.48447256733</v>
      </c>
      <c r="U58" s="95">
        <v>107152.20299827274</v>
      </c>
      <c r="V58" s="68" t="s">
        <v>228</v>
      </c>
      <c r="X58" s="11" t="str">
        <f t="shared" si="5"/>
        <v>Expected revenue from 2012 model (row 259) - supplier x, no cap, no adj for actual inflation (revenue date) 2013</v>
      </c>
    </row>
    <row r="59" spans="1:24" s="11" customFormat="1" x14ac:dyDescent="0.25">
      <c r="A59" s="41" t="str">
        <f>A58</f>
        <v>Expected revenue from 2012 model (row 259) - supplier x, no cap, no adj for actual inflation (revenue date)</v>
      </c>
      <c r="B59" s="96">
        <v>2014</v>
      </c>
      <c r="C59" s="43" t="s">
        <v>10</v>
      </c>
      <c r="D59" s="100">
        <v>0</v>
      </c>
      <c r="E59" s="95">
        <v>35606.127677340082</v>
      </c>
      <c r="F59" s="95">
        <v>58156.897843142251</v>
      </c>
      <c r="G59" s="95">
        <v>9380.3162098429384</v>
      </c>
      <c r="H59" s="95">
        <v>21428.118043605049</v>
      </c>
      <c r="I59" s="95">
        <v>30110.189403276338</v>
      </c>
      <c r="J59" s="95">
        <v>13462.950590292608</v>
      </c>
      <c r="K59" s="95">
        <v>21126.153941995814</v>
      </c>
      <c r="L59" s="95">
        <v>7272.8078405408141</v>
      </c>
      <c r="M59" s="95">
        <v>29250.610569581684</v>
      </c>
      <c r="N59" s="113"/>
      <c r="O59" s="95">
        <v>25026.145129017772</v>
      </c>
      <c r="P59" s="95">
        <v>249039.07425494294</v>
      </c>
      <c r="Q59" s="95">
        <v>31626.41858989156</v>
      </c>
      <c r="R59" s="95">
        <v>33187.491046463481</v>
      </c>
      <c r="S59" s="95">
        <v>92582.725722132614</v>
      </c>
      <c r="T59" s="95">
        <v>421260.9160931696</v>
      </c>
      <c r="U59" s="95">
        <v>110585.59172908995</v>
      </c>
      <c r="V59" s="68" t="s">
        <v>228</v>
      </c>
      <c r="X59" s="11" t="str">
        <f t="shared" si="5"/>
        <v>Expected revenue from 2012 model (row 259) - supplier x, no cap, no adj for actual inflation (revenue date) 2014</v>
      </c>
    </row>
    <row r="60" spans="1:24" s="11" customFormat="1" x14ac:dyDescent="0.25">
      <c r="A60" s="41" t="str">
        <f>A58</f>
        <v>Expected revenue from 2012 model (row 259) - supplier x, no cap, no adj for actual inflation (revenue date)</v>
      </c>
      <c r="B60" s="96">
        <v>2015</v>
      </c>
      <c r="C60" s="43" t="s">
        <v>10</v>
      </c>
      <c r="D60" s="100">
        <v>0</v>
      </c>
      <c r="E60" s="95">
        <v>40254.253403055038</v>
      </c>
      <c r="F60" s="95">
        <v>59830.685133787505</v>
      </c>
      <c r="G60" s="95">
        <v>10520.152678486633</v>
      </c>
      <c r="H60" s="95">
        <v>21853.789281964488</v>
      </c>
      <c r="I60" s="95">
        <v>31269.679625732784</v>
      </c>
      <c r="J60" s="95">
        <v>13745.583126679874</v>
      </c>
      <c r="K60" s="95">
        <v>21580.599855407221</v>
      </c>
      <c r="L60" s="95">
        <v>7473.2779979244069</v>
      </c>
      <c r="M60" s="95">
        <v>30077.532602721931</v>
      </c>
      <c r="N60" s="113"/>
      <c r="O60" s="95">
        <v>25657.687077291313</v>
      </c>
      <c r="P60" s="95">
        <v>255854.22999008506</v>
      </c>
      <c r="Q60" s="95">
        <v>35543.15857445608</v>
      </c>
      <c r="R60" s="95">
        <v>37430.205694426673</v>
      </c>
      <c r="S60" s="95">
        <v>102256.23213881069</v>
      </c>
      <c r="T60" s="95">
        <v>437797.27948758309</v>
      </c>
      <c r="U60" s="95">
        <v>113951.14089105742</v>
      </c>
      <c r="V60" s="68" t="s">
        <v>228</v>
      </c>
      <c r="X60" s="11" t="str">
        <f t="shared" si="5"/>
        <v>Expected revenue from 2012 model (row 259) - supplier x, no cap, no adj for actual inflation (revenue date) 2015</v>
      </c>
    </row>
    <row r="61" spans="1:24" s="11" customFormat="1" x14ac:dyDescent="0.25">
      <c r="A61" s="41" t="s">
        <v>97</v>
      </c>
      <c r="B61" s="96" t="s">
        <v>27</v>
      </c>
      <c r="C61" s="43" t="s">
        <v>10</v>
      </c>
      <c r="D61" s="100">
        <v>0</v>
      </c>
      <c r="E61" s="114">
        <v>98007.833668676947</v>
      </c>
      <c r="F61" s="114">
        <v>152657.61476008588</v>
      </c>
      <c r="G61" s="114">
        <v>25823.168433487455</v>
      </c>
      <c r="H61" s="114">
        <v>56266.575996091677</v>
      </c>
      <c r="I61" s="114">
        <v>79012.175466881032</v>
      </c>
      <c r="J61" s="114">
        <v>35349.765722960823</v>
      </c>
      <c r="K61" s="114">
        <v>55469.927594580928</v>
      </c>
      <c r="L61" s="114">
        <v>19091.425034162472</v>
      </c>
      <c r="M61" s="114">
        <v>76782.118931632242</v>
      </c>
      <c r="N61" s="113"/>
      <c r="O61" s="114">
        <v>65700.361717647291</v>
      </c>
      <c r="P61" s="114">
        <v>653742.72341876104</v>
      </c>
      <c r="Q61" s="114">
        <v>87061.42770179495</v>
      </c>
      <c r="R61" s="114">
        <v>91353.508990809394</v>
      </c>
      <c r="S61" s="114">
        <v>252502.26519995686</v>
      </c>
      <c r="T61" s="114">
        <v>1105407.2734992453</v>
      </c>
      <c r="U61" s="114">
        <v>290262.31064254319</v>
      </c>
      <c r="V61" s="68" t="s">
        <v>228</v>
      </c>
      <c r="X61" s="11" t="str">
        <f t="shared" si="5"/>
        <v>PV of BBAR from 2012 model Value</v>
      </c>
    </row>
    <row r="62" spans="1:24" s="11" customFormat="1" x14ac:dyDescent="0.25">
      <c r="A62" s="41" t="s">
        <v>101</v>
      </c>
      <c r="B62" s="96">
        <v>2013</v>
      </c>
      <c r="C62" s="43" t="s">
        <v>10</v>
      </c>
      <c r="D62" s="100">
        <v>0</v>
      </c>
      <c r="E62" s="95">
        <v>26542.12790343766</v>
      </c>
      <c r="F62" s="95">
        <v>56441.842061854717</v>
      </c>
      <c r="G62" s="95">
        <v>9630.4886628512395</v>
      </c>
      <c r="H62" s="95">
        <v>20977.996031760449</v>
      </c>
      <c r="I62" s="95">
        <v>28948.51117976959</v>
      </c>
      <c r="J62" s="95">
        <v>13165.580869671277</v>
      </c>
      <c r="K62" s="95">
        <v>20649.049140429663</v>
      </c>
      <c r="L62" s="95">
        <v>7066.6857318134444</v>
      </c>
      <c r="M62" s="95">
        <v>28402.093665892455</v>
      </c>
      <c r="N62" s="113"/>
      <c r="O62" s="95">
        <v>24372.108518493362</v>
      </c>
      <c r="P62" s="95">
        <v>242027.70068293621</v>
      </c>
      <c r="Q62" s="95">
        <v>32404.169387547645</v>
      </c>
      <c r="R62" s="95">
        <v>33885.994862213578</v>
      </c>
      <c r="S62" s="95">
        <v>93893.367425859469</v>
      </c>
      <c r="T62" s="95">
        <v>404717.48447256733</v>
      </c>
      <c r="U62" s="95">
        <v>107152.20299827274</v>
      </c>
      <c r="V62" s="68" t="s">
        <v>228</v>
      </c>
      <c r="X62" s="11" t="str">
        <f t="shared" si="5"/>
        <v>Expected revenue from 2012 model (row 264) - supplier X, cap if applicable, no adj for 1yr inflation if capped, adj for 1yr inflation otherwise (revenue date) 2013</v>
      </c>
    </row>
    <row r="63" spans="1:24" s="11" customFormat="1" x14ac:dyDescent="0.25">
      <c r="A63" s="41" t="str">
        <f>A62</f>
        <v>Expected revenue from 2012 model (row 264) - supplier X, cap if applicable, no adj for 1yr inflation if capped, adj for 1yr inflation otherwise (revenue date)</v>
      </c>
      <c r="B63" s="96">
        <v>2014</v>
      </c>
      <c r="C63" s="43" t="s">
        <v>10</v>
      </c>
      <c r="D63" s="100">
        <v>0</v>
      </c>
      <c r="E63" s="95">
        <v>30053.847557183559</v>
      </c>
      <c r="F63" s="95">
        <v>57535.466830371282</v>
      </c>
      <c r="G63" s="95">
        <v>8881.3602562316773</v>
      </c>
      <c r="H63" s="95">
        <v>21199.14955334051</v>
      </c>
      <c r="I63" s="95">
        <v>29788.449314145877</v>
      </c>
      <c r="J63" s="95">
        <v>13319.09327791023</v>
      </c>
      <c r="K63" s="95">
        <v>20900.412065674638</v>
      </c>
      <c r="L63" s="95">
        <v>7195.0948175005242</v>
      </c>
      <c r="M63" s="95">
        <v>28938.055443284353</v>
      </c>
      <c r="N63" s="113"/>
      <c r="O63" s="95">
        <v>24758.730199919853</v>
      </c>
      <c r="P63" s="95">
        <v>246377.98657878791</v>
      </c>
      <c r="Q63" s="95">
        <v>30347.15165868331</v>
      </c>
      <c r="R63" s="95">
        <v>31939.327868223154</v>
      </c>
      <c r="S63" s="95">
        <v>91593.440200649362</v>
      </c>
      <c r="T63" s="95">
        <v>416759.56530869904</v>
      </c>
      <c r="U63" s="95">
        <v>109403.93798181759</v>
      </c>
      <c r="V63" s="68" t="s">
        <v>228</v>
      </c>
      <c r="X63" s="11" t="str">
        <f t="shared" si="5"/>
        <v>Expected revenue from 2012 model (row 264) - supplier X, cap if applicable, no adj for 1yr inflation if capped, adj for 1yr inflation otherwise (revenue date) 2014</v>
      </c>
    </row>
    <row r="64" spans="1:24" s="11" customFormat="1" x14ac:dyDescent="0.25">
      <c r="A64" s="41" t="str">
        <f>A62</f>
        <v>Expected revenue from 2012 model (row 264) - supplier X, cap if applicable, no adj for 1yr inflation if capped, adj for 1yr inflation otherwise (revenue date)</v>
      </c>
      <c r="B64" s="96">
        <v>2015</v>
      </c>
      <c r="C64" s="43" t="s">
        <v>10</v>
      </c>
      <c r="D64" s="100">
        <v>0</v>
      </c>
      <c r="E64" s="95">
        <v>33977.162758801584</v>
      </c>
      <c r="F64" s="95">
        <v>59050.11153207266</v>
      </c>
      <c r="G64" s="95">
        <v>9960.5667653462679</v>
      </c>
      <c r="H64" s="95">
        <v>21568.676534671093</v>
      </c>
      <c r="I64" s="95">
        <v>30861.72363466652</v>
      </c>
      <c r="J64" s="95">
        <v>13566.253083828597</v>
      </c>
      <c r="K64" s="95">
        <v>21299.05124003311</v>
      </c>
      <c r="L64" s="95">
        <v>7375.7788048195316</v>
      </c>
      <c r="M64" s="95">
        <v>29685.129809708549</v>
      </c>
      <c r="N64" s="113"/>
      <c r="O64" s="95">
        <v>25322.947249913268</v>
      </c>
      <c r="P64" s="95">
        <v>252516.25955951485</v>
      </c>
      <c r="Q64" s="95">
        <v>34105.462198378729</v>
      </c>
      <c r="R64" s="95">
        <v>36022.476365435316</v>
      </c>
      <c r="S64" s="95">
        <v>100922.15890799445</v>
      </c>
      <c r="T64" s="95">
        <v>432085.61166184396</v>
      </c>
      <c r="U64" s="95">
        <v>112464.49148589095</v>
      </c>
      <c r="V64" s="68" t="s">
        <v>228</v>
      </c>
      <c r="X64" s="11" t="str">
        <f t="shared" si="5"/>
        <v>Expected revenue from 2012 model (row 264) - supplier X, cap if applicable, no adj for 1yr inflation if capped, adj for 1yr inflation otherwise (revenue date) 2015</v>
      </c>
    </row>
    <row r="65" spans="1:24" s="11" customFormat="1" x14ac:dyDescent="0.25">
      <c r="A65" s="41" t="s">
        <v>91</v>
      </c>
      <c r="B65" s="96" t="s">
        <v>27</v>
      </c>
      <c r="C65" s="43" t="s">
        <v>10</v>
      </c>
      <c r="D65" s="100">
        <v>0</v>
      </c>
      <c r="E65" s="115">
        <v>2.6115659998761958</v>
      </c>
      <c r="F65" s="115">
        <v>2.6140482034048165</v>
      </c>
      <c r="G65" s="115">
        <v>2.5915375279074064</v>
      </c>
      <c r="H65" s="115">
        <v>2.5922852418145381</v>
      </c>
      <c r="I65" s="115">
        <v>2.6379349701205745</v>
      </c>
      <c r="J65" s="115">
        <v>2.5950325722895307</v>
      </c>
      <c r="K65" s="115">
        <v>2.5962938209997328</v>
      </c>
      <c r="L65" s="115">
        <v>2.6110721175785412</v>
      </c>
      <c r="M65" s="115">
        <v>2.6127992111456617</v>
      </c>
      <c r="N65" s="115">
        <v>2.5978862318682054</v>
      </c>
      <c r="O65" s="115">
        <v>2.6053792860719862</v>
      </c>
      <c r="P65" s="115">
        <v>2.6105865223982061</v>
      </c>
      <c r="Q65" s="115">
        <v>2.5966964824693903</v>
      </c>
      <c r="R65" s="115">
        <v>2.6055612793742369</v>
      </c>
      <c r="S65" s="115">
        <v>2.5991219806590666</v>
      </c>
      <c r="T65" s="115">
        <v>2.6397734065439749</v>
      </c>
      <c r="U65" s="115">
        <v>2.6180976590448388</v>
      </c>
      <c r="V65" s="68"/>
      <c r="X65" s="11" t="str">
        <f t="shared" si="5"/>
        <v>PV of Forecast price path index with X=0 (base year 2013) Value</v>
      </c>
    </row>
    <row r="66" spans="1:24" s="11" customFormat="1" x14ac:dyDescent="0.25">
      <c r="A66" s="41" t="s">
        <v>122</v>
      </c>
      <c r="B66" s="96" t="s">
        <v>27</v>
      </c>
      <c r="C66" s="43" t="s">
        <v>10</v>
      </c>
      <c r="D66" s="100">
        <v>0</v>
      </c>
      <c r="E66" s="95">
        <v>12503.474397993199</v>
      </c>
      <c r="F66" s="95"/>
      <c r="G66" s="95">
        <v>1118.99054163044</v>
      </c>
      <c r="H66" s="95">
        <v>0</v>
      </c>
      <c r="I66" s="95">
        <v>0</v>
      </c>
      <c r="J66" s="95">
        <v>0</v>
      </c>
      <c r="K66" s="95">
        <v>0</v>
      </c>
      <c r="L66" s="95">
        <v>0</v>
      </c>
      <c r="M66" s="95">
        <v>0</v>
      </c>
      <c r="N66" s="113"/>
      <c r="O66" s="95">
        <v>0</v>
      </c>
      <c r="P66" s="95">
        <v>0</v>
      </c>
      <c r="Q66" s="95">
        <v>0</v>
      </c>
      <c r="R66" s="95">
        <v>2807.3352081180001</v>
      </c>
      <c r="S66" s="95">
        <v>0</v>
      </c>
      <c r="T66" s="95">
        <v>0</v>
      </c>
      <c r="U66" s="95">
        <v>0</v>
      </c>
      <c r="V66" s="67"/>
      <c r="X66" s="11" t="str">
        <f t="shared" si="5"/>
        <v>NPV wash up for 2013-15 (PV as at 31 March 2015) Value</v>
      </c>
    </row>
    <row r="67" spans="1:24" s="11" customFormat="1" x14ac:dyDescent="0.25">
      <c r="A67" s="41" t="s">
        <v>125</v>
      </c>
      <c r="B67" s="96" t="s">
        <v>27</v>
      </c>
      <c r="C67" s="43" t="s">
        <v>10</v>
      </c>
      <c r="D67" s="100">
        <v>0</v>
      </c>
      <c r="E67" s="95">
        <v>26542.12790343766</v>
      </c>
      <c r="F67" s="95">
        <v>0</v>
      </c>
      <c r="G67" s="95">
        <v>7906.7428135023292</v>
      </c>
      <c r="H67" s="95">
        <v>0</v>
      </c>
      <c r="I67" s="95">
        <v>0</v>
      </c>
      <c r="J67" s="95">
        <v>0</v>
      </c>
      <c r="K67" s="95">
        <v>0</v>
      </c>
      <c r="L67" s="95">
        <v>0</v>
      </c>
      <c r="M67" s="95">
        <v>0</v>
      </c>
      <c r="N67" s="113"/>
      <c r="O67" s="95">
        <v>0</v>
      </c>
      <c r="P67" s="95">
        <v>242251.28095007711</v>
      </c>
      <c r="Q67" s="95">
        <v>26960.914580354587</v>
      </c>
      <c r="R67" s="95">
        <v>28274.873457068381</v>
      </c>
      <c r="S67" s="95">
        <v>83515.347165542829</v>
      </c>
      <c r="T67" s="95">
        <v>0</v>
      </c>
      <c r="U67" s="95">
        <v>0</v>
      </c>
      <c r="V67" s="67"/>
      <c r="X67" s="11" t="str">
        <f t="shared" si="5"/>
        <v>Estimated MAR from Nov 2012 model corresponding to disclosed ANR for 12/13 (rev date) Value</v>
      </c>
    </row>
    <row r="68" spans="1:24" s="11" customFormat="1" x14ac:dyDescent="0.25">
      <c r="A68" s="41" t="s">
        <v>145</v>
      </c>
      <c r="B68" s="96">
        <v>2011</v>
      </c>
      <c r="C68" s="43" t="s">
        <v>10</v>
      </c>
      <c r="D68" s="100"/>
      <c r="E68" s="95">
        <v>10176.654</v>
      </c>
      <c r="F68" s="95">
        <v>20287.022000000001</v>
      </c>
      <c r="G68" s="95">
        <v>2324.5210000000002</v>
      </c>
      <c r="H68" s="95">
        <v>9377.0939999999991</v>
      </c>
      <c r="I68" s="95">
        <v>4863.6369999999997</v>
      </c>
      <c r="J68" s="95">
        <v>4497.1790000000001</v>
      </c>
      <c r="K68" s="95">
        <v>8104.4070000000002</v>
      </c>
      <c r="L68" s="95">
        <v>2511.3130000000001</v>
      </c>
      <c r="M68" s="95">
        <v>12495.487999999999</v>
      </c>
      <c r="N68" s="95">
        <v>54791.9</v>
      </c>
      <c r="O68" s="95">
        <v>6189.7849999999999</v>
      </c>
      <c r="P68" s="95">
        <v>75651</v>
      </c>
      <c r="Q68" s="95">
        <v>5469.2380000000003</v>
      </c>
      <c r="R68" s="95">
        <v>5895.2219999999998</v>
      </c>
      <c r="S68" s="95">
        <v>27402.03903</v>
      </c>
      <c r="T68" s="95">
        <v>136299.86900000001</v>
      </c>
      <c r="U68" s="95">
        <v>47860</v>
      </c>
      <c r="V68" s="67" t="s">
        <v>162</v>
      </c>
      <c r="X68" s="11" t="str">
        <f t="shared" si="5"/>
        <v>Actual pass through costs and recoverable costs (intra year) 2011</v>
      </c>
    </row>
    <row r="69" spans="1:24" s="11" customFormat="1" x14ac:dyDescent="0.25">
      <c r="A69" s="41" t="str">
        <f>$A$68</f>
        <v>Actual pass through costs and recoverable costs (intra year)</v>
      </c>
      <c r="B69" s="96">
        <v>2012</v>
      </c>
      <c r="C69" s="43" t="s">
        <v>10</v>
      </c>
      <c r="D69" s="100"/>
      <c r="E69" s="95">
        <v>9871.7729999999992</v>
      </c>
      <c r="F69" s="95">
        <v>25225</v>
      </c>
      <c r="G69" s="95">
        <v>2374</v>
      </c>
      <c r="H69" s="95">
        <v>9805.4938199999997</v>
      </c>
      <c r="I69" s="95">
        <v>4826</v>
      </c>
      <c r="J69" s="95">
        <v>4776.53</v>
      </c>
      <c r="K69" s="95">
        <v>8069.1021700000001</v>
      </c>
      <c r="L69" s="95">
        <v>2475</v>
      </c>
      <c r="M69" s="95">
        <v>10693</v>
      </c>
      <c r="N69" s="95">
        <v>57835.303999999996</v>
      </c>
      <c r="O69" s="95">
        <v>6400.9430000000002</v>
      </c>
      <c r="P69" s="95">
        <v>80927.338778086094</v>
      </c>
      <c r="Q69" s="95">
        <v>5437.6970099999999</v>
      </c>
      <c r="R69" s="95">
        <v>7582</v>
      </c>
      <c r="S69" s="95">
        <v>28784.699000000001</v>
      </c>
      <c r="T69" s="95">
        <v>149627</v>
      </c>
      <c r="U69" s="95">
        <v>50619.55257</v>
      </c>
      <c r="V69" s="67" t="s">
        <v>83</v>
      </c>
      <c r="X69" s="11" t="str">
        <f t="shared" si="5"/>
        <v>Actual pass through costs and recoverable costs (intra year) 2012</v>
      </c>
    </row>
    <row r="70" spans="1:24" s="11" customFormat="1" x14ac:dyDescent="0.25">
      <c r="A70" s="41" t="str">
        <f t="shared" ref="A70:A72" si="8">$A$68</f>
        <v>Actual pass through costs and recoverable costs (intra year)</v>
      </c>
      <c r="B70" s="96">
        <v>2013</v>
      </c>
      <c r="C70" s="43" t="s">
        <v>10</v>
      </c>
      <c r="D70" s="100"/>
      <c r="E70" s="95">
        <v>12744.85839365217</v>
      </c>
      <c r="F70" s="95">
        <v>31387</v>
      </c>
      <c r="G70" s="95">
        <v>2677</v>
      </c>
      <c r="H70" s="95">
        <v>10789.287679999999</v>
      </c>
      <c r="I70" s="95">
        <v>6705</v>
      </c>
      <c r="J70" s="95">
        <v>5740.2979999999998</v>
      </c>
      <c r="K70" s="95">
        <v>8978.4391700000015</v>
      </c>
      <c r="L70" s="95">
        <v>2761.9180000000001</v>
      </c>
      <c r="M70" s="95">
        <v>11470.30826</v>
      </c>
      <c r="N70" s="95">
        <v>69046.096000000005</v>
      </c>
      <c r="O70" s="95">
        <v>7291.4009999999998</v>
      </c>
      <c r="P70" s="95">
        <v>94339.815719999999</v>
      </c>
      <c r="Q70" s="95">
        <v>6250.9754499999999</v>
      </c>
      <c r="R70" s="95">
        <v>7055</v>
      </c>
      <c r="S70" s="95">
        <v>33737</v>
      </c>
      <c r="T70" s="95">
        <v>188980</v>
      </c>
      <c r="U70" s="95">
        <v>60089.51468</v>
      </c>
      <c r="V70" s="67" t="s">
        <v>83</v>
      </c>
      <c r="X70" s="11" t="str">
        <f t="shared" ref="X70:X97" si="9">A70&amp;" "&amp;B70</f>
        <v>Actual pass through costs and recoverable costs (intra year) 2013</v>
      </c>
    </row>
    <row r="71" spans="1:24" s="11" customFormat="1" x14ac:dyDescent="0.25">
      <c r="A71" s="41" t="str">
        <f t="shared" si="8"/>
        <v>Actual pass through costs and recoverable costs (intra year)</v>
      </c>
      <c r="B71" s="96">
        <v>2014</v>
      </c>
      <c r="C71" s="43" t="s">
        <v>10</v>
      </c>
      <c r="D71" s="100"/>
      <c r="E71" s="95">
        <v>12953.077938</v>
      </c>
      <c r="F71" s="95">
        <v>29712</v>
      </c>
      <c r="G71" s="95">
        <v>2774</v>
      </c>
      <c r="H71" s="95">
        <v>11507.423290000001</v>
      </c>
      <c r="I71" s="95">
        <v>5987</v>
      </c>
      <c r="J71" s="95">
        <v>5272.7469999999994</v>
      </c>
      <c r="K71" s="95">
        <v>8882</v>
      </c>
      <c r="L71" s="95">
        <v>3201</v>
      </c>
      <c r="M71" s="95">
        <v>14143</v>
      </c>
      <c r="N71" s="95">
        <v>75578.710000000006</v>
      </c>
      <c r="O71" s="95">
        <v>8203</v>
      </c>
      <c r="P71" s="95">
        <v>103163.95779</v>
      </c>
      <c r="Q71" s="95">
        <v>7042</v>
      </c>
      <c r="R71" s="95">
        <v>7816</v>
      </c>
      <c r="S71" s="95">
        <v>36289</v>
      </c>
      <c r="T71" s="95">
        <v>192508</v>
      </c>
      <c r="U71" s="95">
        <v>62143.689279999999</v>
      </c>
      <c r="V71" s="67" t="s">
        <v>83</v>
      </c>
      <c r="X71" s="11" t="str">
        <f t="shared" si="9"/>
        <v>Actual pass through costs and recoverable costs (intra year) 2014</v>
      </c>
    </row>
    <row r="72" spans="1:24" s="11" customFormat="1" x14ac:dyDescent="0.25">
      <c r="A72" s="41" t="str">
        <f t="shared" si="8"/>
        <v>Actual pass through costs and recoverable costs (intra year)</v>
      </c>
      <c r="B72" s="96">
        <v>2015</v>
      </c>
      <c r="C72" s="43" t="s">
        <v>10</v>
      </c>
      <c r="D72" s="100"/>
      <c r="E72" s="95">
        <v>14704.13914582609</v>
      </c>
      <c r="F72" s="95">
        <v>34483</v>
      </c>
      <c r="G72" s="95">
        <v>2897</v>
      </c>
      <c r="H72" s="95">
        <v>12302.746740000001</v>
      </c>
      <c r="I72" s="95">
        <v>8514</v>
      </c>
      <c r="J72" s="95">
        <v>6356.3210000000008</v>
      </c>
      <c r="K72" s="95">
        <v>10995.62207043478</v>
      </c>
      <c r="L72" s="95">
        <v>3840.2965600000002</v>
      </c>
      <c r="M72" s="95">
        <v>13862</v>
      </c>
      <c r="N72" s="95">
        <v>82047.5</v>
      </c>
      <c r="O72" s="95">
        <v>6957.9460000000008</v>
      </c>
      <c r="P72" s="95">
        <v>113620.54893</v>
      </c>
      <c r="Q72" s="95">
        <v>7451</v>
      </c>
      <c r="R72" s="95">
        <v>8773.1312393768112</v>
      </c>
      <c r="S72" s="95">
        <v>41029.114070000003</v>
      </c>
      <c r="T72" s="95">
        <v>228553</v>
      </c>
      <c r="U72" s="95">
        <v>70487.974159999998</v>
      </c>
      <c r="V72" s="67" t="s">
        <v>83</v>
      </c>
      <c r="X72" s="11" t="str">
        <f t="shared" si="9"/>
        <v>Actual pass through costs and recoverable costs (intra year) 2015</v>
      </c>
    </row>
    <row r="73" spans="1:24" s="11" customFormat="1" x14ac:dyDescent="0.25">
      <c r="A73" s="41" t="s">
        <v>146</v>
      </c>
      <c r="B73" s="96">
        <v>2011</v>
      </c>
      <c r="C73" s="43" t="s">
        <v>10</v>
      </c>
      <c r="D73" s="100"/>
      <c r="E73" s="95">
        <v>-245.42506160569513</v>
      </c>
      <c r="F73" s="95">
        <v>-106.75658614128687</v>
      </c>
      <c r="G73" s="95">
        <v>26.233594726912159</v>
      </c>
      <c r="H73" s="95">
        <v>-161.65240401135023</v>
      </c>
      <c r="I73" s="95">
        <v>-631.35142245114355</v>
      </c>
      <c r="J73" s="95">
        <v>-166.84154891892024</v>
      </c>
      <c r="K73" s="95">
        <v>-29.188962190352751</v>
      </c>
      <c r="L73" s="95">
        <v>1.7378792388673994</v>
      </c>
      <c r="M73" s="95">
        <v>-228.46196023017671</v>
      </c>
      <c r="N73" s="95">
        <v>-1481.9872244442201</v>
      </c>
      <c r="O73" s="95">
        <v>-4.116663152268619</v>
      </c>
      <c r="P73" s="95">
        <v>-8021.1254213620168</v>
      </c>
      <c r="Q73" s="95">
        <v>4.9731709167514246</v>
      </c>
      <c r="R73" s="95">
        <v>3.1386180860480448</v>
      </c>
      <c r="S73" s="95">
        <v>-1747.90719826196</v>
      </c>
      <c r="T73" s="95">
        <v>-5773.0764516231638</v>
      </c>
      <c r="U73" s="95">
        <v>-79.56708275811296</v>
      </c>
      <c r="V73" s="67"/>
      <c r="X73" s="11" t="str">
        <f t="shared" si="9"/>
        <v>Actual gains/losses on disposal (intra year) 2011</v>
      </c>
    </row>
    <row r="74" spans="1:24" s="11" customFormat="1" x14ac:dyDescent="0.25">
      <c r="A74" s="41" t="str">
        <f>$A$73</f>
        <v>Actual gains/losses on disposal (intra year)</v>
      </c>
      <c r="B74" s="96">
        <v>2012</v>
      </c>
      <c r="C74" s="43" t="s">
        <v>10</v>
      </c>
      <c r="D74" s="100"/>
      <c r="E74" s="95">
        <v>-129.46393</v>
      </c>
      <c r="F74" s="95">
        <v>-16</v>
      </c>
      <c r="G74" s="95">
        <v>37</v>
      </c>
      <c r="H74" s="95">
        <v>-291</v>
      </c>
      <c r="I74" s="95">
        <v>-1227</v>
      </c>
      <c r="J74" s="95">
        <v>-436</v>
      </c>
      <c r="K74" s="95">
        <v>24.568999999999999</v>
      </c>
      <c r="L74" s="95">
        <v>0</v>
      </c>
      <c r="M74" s="95">
        <v>-267</v>
      </c>
      <c r="N74" s="95">
        <v>536</v>
      </c>
      <c r="O74" s="95">
        <v>0</v>
      </c>
      <c r="P74" s="95">
        <v>-9496.6598659920001</v>
      </c>
      <c r="Q74" s="95">
        <v>12.134779999999999</v>
      </c>
      <c r="R74" s="95">
        <v>0</v>
      </c>
      <c r="S74" s="95">
        <v>-115.06747</v>
      </c>
      <c r="T74" s="95">
        <v>-5053</v>
      </c>
      <c r="U74" s="95">
        <v>0</v>
      </c>
      <c r="V74" s="67" t="s">
        <v>83</v>
      </c>
      <c r="X74" s="11" t="str">
        <f t="shared" si="9"/>
        <v>Actual gains/losses on disposal (intra year) 2012</v>
      </c>
    </row>
    <row r="75" spans="1:24" s="11" customFormat="1" x14ac:dyDescent="0.25">
      <c r="A75" s="41" t="str">
        <f t="shared" ref="A75:A77" si="10">$A$73</f>
        <v>Actual gains/losses on disposal (intra year)</v>
      </c>
      <c r="B75" s="96">
        <v>2013</v>
      </c>
      <c r="C75" s="43" t="s">
        <v>10</v>
      </c>
      <c r="D75" s="100"/>
      <c r="E75" s="95">
        <v>-538.80521999999996</v>
      </c>
      <c r="F75" s="95">
        <v>-81</v>
      </c>
      <c r="G75" s="95">
        <v>22</v>
      </c>
      <c r="H75" s="95">
        <v>-259.23962996585789</v>
      </c>
      <c r="I75" s="95">
        <v>-1507</v>
      </c>
      <c r="J75" s="95">
        <v>-69</v>
      </c>
      <c r="K75" s="95">
        <v>16.399000000000001</v>
      </c>
      <c r="L75" s="95">
        <v>7.5629999999999997</v>
      </c>
      <c r="M75" s="95">
        <v>-162.1621947564166</v>
      </c>
      <c r="N75" s="95">
        <v>231.356359340891</v>
      </c>
      <c r="O75" s="95">
        <v>-6.0302900000000008</v>
      </c>
      <c r="P75" s="95">
        <v>-8111</v>
      </c>
      <c r="Q75" s="95">
        <v>0.51426300000000069</v>
      </c>
      <c r="R75" s="95">
        <v>0</v>
      </c>
      <c r="S75" s="95">
        <v>-326.52</v>
      </c>
      <c r="T75" s="95">
        <v>-3008</v>
      </c>
      <c r="U75" s="95">
        <v>0</v>
      </c>
      <c r="V75" s="67" t="s">
        <v>83</v>
      </c>
      <c r="X75" s="11" t="str">
        <f t="shared" si="9"/>
        <v>Actual gains/losses on disposal (intra year) 2013</v>
      </c>
    </row>
    <row r="76" spans="1:24" s="11" customFormat="1" x14ac:dyDescent="0.25">
      <c r="A76" s="41" t="str">
        <f t="shared" si="10"/>
        <v>Actual gains/losses on disposal (intra year)</v>
      </c>
      <c r="B76" s="96">
        <v>2014</v>
      </c>
      <c r="C76" s="43" t="s">
        <v>10</v>
      </c>
      <c r="D76" s="100"/>
      <c r="E76" s="95">
        <v>-168.47564</v>
      </c>
      <c r="F76" s="95">
        <v>-363</v>
      </c>
      <c r="G76" s="95">
        <v>18.463989999999999</v>
      </c>
      <c r="H76" s="95">
        <v>-146.0962554985295</v>
      </c>
      <c r="I76" s="95">
        <v>-26</v>
      </c>
      <c r="J76" s="95">
        <v>-166.91</v>
      </c>
      <c r="K76" s="95">
        <v>-44</v>
      </c>
      <c r="L76" s="95">
        <v>0</v>
      </c>
      <c r="M76" s="95">
        <v>-197</v>
      </c>
      <c r="N76" s="95">
        <v>-6554</v>
      </c>
      <c r="O76" s="95">
        <v>-14.43515</v>
      </c>
      <c r="P76" s="95">
        <v>-8274.7208954329999</v>
      </c>
      <c r="Q76" s="95">
        <v>11</v>
      </c>
      <c r="R76" s="95">
        <v>3.86768</v>
      </c>
      <c r="S76" s="95">
        <v>-3861</v>
      </c>
      <c r="T76" s="95">
        <v>-7805</v>
      </c>
      <c r="U76" s="95">
        <v>-341.81114678397552</v>
      </c>
      <c r="V76" s="67" t="s">
        <v>83</v>
      </c>
      <c r="X76" s="11" t="str">
        <f t="shared" si="9"/>
        <v>Actual gains/losses on disposal (intra year) 2014</v>
      </c>
    </row>
    <row r="77" spans="1:24" s="11" customFormat="1" x14ac:dyDescent="0.25">
      <c r="A77" s="41" t="str">
        <f t="shared" si="10"/>
        <v>Actual gains/losses on disposal (intra year)</v>
      </c>
      <c r="B77" s="96">
        <v>2015</v>
      </c>
      <c r="C77" s="43" t="s">
        <v>10</v>
      </c>
      <c r="D77" s="100"/>
      <c r="E77" s="95">
        <v>-225.33927108503539</v>
      </c>
      <c r="F77" s="95">
        <v>0</v>
      </c>
      <c r="G77" s="95">
        <v>36</v>
      </c>
      <c r="H77" s="95">
        <v>-7.6306751465664098</v>
      </c>
      <c r="I77" s="95">
        <v>2</v>
      </c>
      <c r="J77" s="95">
        <v>-54.613999999999997</v>
      </c>
      <c r="K77" s="95">
        <v>-120.578874935</v>
      </c>
      <c r="L77" s="95">
        <v>0</v>
      </c>
      <c r="M77" s="95">
        <v>-360</v>
      </c>
      <c r="N77" s="95">
        <v>-560.45799999999997</v>
      </c>
      <c r="O77" s="95">
        <v>2.68</v>
      </c>
      <c r="P77" s="95">
        <v>-8807.870170071641</v>
      </c>
      <c r="Q77" s="95">
        <v>-2</v>
      </c>
      <c r="R77" s="95">
        <v>9.533059999999999</v>
      </c>
      <c r="S77" s="95">
        <v>-3185.3620000000001</v>
      </c>
      <c r="T77" s="95">
        <v>-9004</v>
      </c>
      <c r="U77" s="95">
        <v>0</v>
      </c>
      <c r="V77" s="67" t="s">
        <v>83</v>
      </c>
      <c r="X77" s="11" t="str">
        <f t="shared" si="9"/>
        <v>Actual gains/losses on disposal (intra year) 2015</v>
      </c>
    </row>
    <row r="78" spans="1:24" s="11" customFormat="1" x14ac:dyDescent="0.25">
      <c r="A78" s="41" t="s">
        <v>147</v>
      </c>
      <c r="B78" s="96">
        <v>2011</v>
      </c>
      <c r="C78" s="43" t="s">
        <v>10</v>
      </c>
      <c r="D78" s="100"/>
      <c r="E78" s="95">
        <v>0.67100000000000004</v>
      </c>
      <c r="F78" s="95">
        <v>698</v>
      </c>
      <c r="G78" s="95">
        <v>29</v>
      </c>
      <c r="H78" s="95">
        <v>281</v>
      </c>
      <c r="I78" s="95">
        <v>659</v>
      </c>
      <c r="J78" s="95">
        <v>86</v>
      </c>
      <c r="K78" s="95">
        <v>13.23921</v>
      </c>
      <c r="L78" s="95">
        <v>0</v>
      </c>
      <c r="M78" s="95">
        <v>270.76427999999999</v>
      </c>
      <c r="N78" s="95">
        <v>442</v>
      </c>
      <c r="O78" s="95">
        <v>274</v>
      </c>
      <c r="P78" s="95">
        <v>107.84219</v>
      </c>
      <c r="Q78" s="95">
        <v>0</v>
      </c>
      <c r="R78" s="95">
        <v>0</v>
      </c>
      <c r="S78" s="95">
        <v>419.15827999999999</v>
      </c>
      <c r="T78" s="95">
        <v>13987</v>
      </c>
      <c r="U78" s="95">
        <v>239.78279000000001</v>
      </c>
      <c r="V78" s="67" t="s">
        <v>83</v>
      </c>
      <c r="X78" s="11" t="str">
        <f t="shared" si="9"/>
        <v>Actual other regulated income other than gains/losses on disposal (intra year) 2011</v>
      </c>
    </row>
    <row r="79" spans="1:24" s="11" customFormat="1" x14ac:dyDescent="0.25">
      <c r="A79" s="41" t="str">
        <f>$A$78</f>
        <v>Actual other regulated income other than gains/losses on disposal (intra year)</v>
      </c>
      <c r="B79" s="96">
        <v>2012</v>
      </c>
      <c r="C79" s="43" t="s">
        <v>10</v>
      </c>
      <c r="D79" s="100"/>
      <c r="E79" s="95">
        <v>10.18113</v>
      </c>
      <c r="F79" s="95">
        <v>1999</v>
      </c>
      <c r="G79" s="95">
        <v>231</v>
      </c>
      <c r="H79" s="95">
        <v>200</v>
      </c>
      <c r="I79" s="95">
        <v>503</v>
      </c>
      <c r="J79" s="95">
        <v>82</v>
      </c>
      <c r="K79" s="95">
        <v>2.8780000000000001</v>
      </c>
      <c r="L79" s="95">
        <v>240</v>
      </c>
      <c r="M79" s="95">
        <v>1170</v>
      </c>
      <c r="N79" s="95">
        <v>22917</v>
      </c>
      <c r="O79" s="95">
        <v>916</v>
      </c>
      <c r="P79" s="95">
        <v>539.84978390000003</v>
      </c>
      <c r="Q79" s="95">
        <v>0</v>
      </c>
      <c r="R79" s="95">
        <v>101</v>
      </c>
      <c r="S79" s="95">
        <v>722.90700000000004</v>
      </c>
      <c r="T79" s="95">
        <v>6271</v>
      </c>
      <c r="U79" s="95">
        <v>701.91713000000084</v>
      </c>
      <c r="V79" s="67" t="s">
        <v>83</v>
      </c>
      <c r="X79" s="11" t="str">
        <f t="shared" si="9"/>
        <v>Actual other regulated income other than gains/losses on disposal (intra year) 2012</v>
      </c>
    </row>
    <row r="80" spans="1:24" s="11" customFormat="1" x14ac:dyDescent="0.25">
      <c r="A80" s="41" t="str">
        <f t="shared" ref="A80:A82" si="11">$A$78</f>
        <v>Actual other regulated income other than gains/losses on disposal (intra year)</v>
      </c>
      <c r="B80" s="96">
        <v>2013</v>
      </c>
      <c r="C80" s="43" t="s">
        <v>10</v>
      </c>
      <c r="D80" s="100"/>
      <c r="E80" s="95">
        <v>28.584330000000001</v>
      </c>
      <c r="F80" s="95">
        <v>2989</v>
      </c>
      <c r="G80" s="95">
        <v>236</v>
      </c>
      <c r="H80" s="95">
        <v>394.29057</v>
      </c>
      <c r="I80" s="95">
        <v>322</v>
      </c>
      <c r="J80" s="95">
        <v>58.052999999999997</v>
      </c>
      <c r="K80" s="95">
        <v>44.72495</v>
      </c>
      <c r="L80" s="95">
        <v>289.45400000000001</v>
      </c>
      <c r="M80" s="95">
        <v>1559</v>
      </c>
      <c r="N80" s="95">
        <v>3896</v>
      </c>
      <c r="O80" s="95">
        <v>1216.971</v>
      </c>
      <c r="P80" s="95">
        <v>210.99914000000001</v>
      </c>
      <c r="Q80" s="95">
        <v>0</v>
      </c>
      <c r="R80" s="95">
        <v>740.39752782608787</v>
      </c>
      <c r="S80" s="95">
        <v>729.91899999999998</v>
      </c>
      <c r="T80" s="95">
        <v>6090</v>
      </c>
      <c r="U80" s="95">
        <v>678.42719000000045</v>
      </c>
      <c r="V80" s="67" t="s">
        <v>83</v>
      </c>
      <c r="X80" s="11" t="str">
        <f t="shared" si="9"/>
        <v>Actual other regulated income other than gains/losses on disposal (intra year) 2013</v>
      </c>
    </row>
    <row r="81" spans="1:24" s="11" customFormat="1" x14ac:dyDescent="0.25">
      <c r="A81" s="41" t="str">
        <f t="shared" si="11"/>
        <v>Actual other regulated income other than gains/losses on disposal (intra year)</v>
      </c>
      <c r="B81" s="96">
        <v>2014</v>
      </c>
      <c r="C81" s="43" t="s">
        <v>10</v>
      </c>
      <c r="D81" s="100"/>
      <c r="E81" s="95">
        <v>26.671710000000001</v>
      </c>
      <c r="F81" s="95">
        <v>3225</v>
      </c>
      <c r="G81" s="95">
        <v>104</v>
      </c>
      <c r="H81" s="95">
        <v>250.26542000000001</v>
      </c>
      <c r="I81" s="95">
        <v>668</v>
      </c>
      <c r="J81" s="95">
        <v>39.768000000000001</v>
      </c>
      <c r="K81" s="95">
        <v>390</v>
      </c>
      <c r="L81" s="95">
        <v>51</v>
      </c>
      <c r="M81" s="95">
        <v>256</v>
      </c>
      <c r="N81" s="95">
        <v>2742</v>
      </c>
      <c r="O81" s="95">
        <v>554.46100000000001</v>
      </c>
      <c r="P81" s="95">
        <v>395.97179999999997</v>
      </c>
      <c r="Q81" s="95">
        <v>0</v>
      </c>
      <c r="R81" s="95">
        <v>541.07921043478268</v>
      </c>
      <c r="S81" s="95">
        <v>676.27800000000002</v>
      </c>
      <c r="T81" s="95">
        <v>3570</v>
      </c>
      <c r="U81" s="95">
        <v>532.84507999999994</v>
      </c>
      <c r="V81" s="67" t="s">
        <v>83</v>
      </c>
      <c r="X81" s="11" t="str">
        <f t="shared" si="9"/>
        <v>Actual other regulated income other than gains/losses on disposal (intra year) 2014</v>
      </c>
    </row>
    <row r="82" spans="1:24" s="11" customFormat="1" x14ac:dyDescent="0.25">
      <c r="A82" s="41" t="str">
        <f t="shared" si="11"/>
        <v>Actual other regulated income other than gains/losses on disposal (intra year)</v>
      </c>
      <c r="B82" s="96">
        <v>2015</v>
      </c>
      <c r="C82" s="43" t="s">
        <v>10</v>
      </c>
      <c r="D82" s="100"/>
      <c r="E82" s="95">
        <v>4.2423899999999994</v>
      </c>
      <c r="F82" s="95">
        <v>2633</v>
      </c>
      <c r="G82" s="95">
        <v>86</v>
      </c>
      <c r="H82" s="95">
        <v>215.44953000000001</v>
      </c>
      <c r="I82" s="95">
        <v>736</v>
      </c>
      <c r="J82" s="95">
        <v>39.768000000000001</v>
      </c>
      <c r="K82" s="95">
        <v>196.73772</v>
      </c>
      <c r="L82" s="95">
        <v>68.437259999999995</v>
      </c>
      <c r="M82" s="95">
        <v>95</v>
      </c>
      <c r="N82" s="95">
        <v>32665.526000000002</v>
      </c>
      <c r="O82" s="95">
        <v>673.52</v>
      </c>
      <c r="P82" s="95">
        <v>384.97246499999989</v>
      </c>
      <c r="Q82" s="95">
        <v>0</v>
      </c>
      <c r="R82" s="95">
        <v>512.61898999999994</v>
      </c>
      <c r="S82" s="95">
        <v>1209.0825600000001</v>
      </c>
      <c r="T82" s="95">
        <v>185</v>
      </c>
      <c r="U82" s="95">
        <v>671.24241999999992</v>
      </c>
      <c r="V82" s="67" t="s">
        <v>83</v>
      </c>
      <c r="X82" s="11" t="str">
        <f t="shared" si="9"/>
        <v>Actual other regulated income other than gains/losses on disposal (intra year) 2015</v>
      </c>
    </row>
    <row r="83" spans="1:24" s="11" customFormat="1" x14ac:dyDescent="0.25">
      <c r="A83" s="41" t="s">
        <v>148</v>
      </c>
      <c r="B83" s="96">
        <v>2011</v>
      </c>
      <c r="C83" s="43" t="s">
        <v>10</v>
      </c>
      <c r="D83" s="100"/>
      <c r="E83" s="95"/>
      <c r="F83" s="95"/>
      <c r="G83" s="95"/>
      <c r="H83" s="95"/>
      <c r="I83" s="95"/>
      <c r="J83" s="95"/>
      <c r="K83" s="95"/>
      <c r="L83" s="95"/>
      <c r="M83" s="95"/>
      <c r="N83" s="95"/>
      <c r="O83" s="95"/>
      <c r="P83" s="95"/>
      <c r="Q83" s="95"/>
      <c r="R83" s="95"/>
      <c r="S83" s="95"/>
      <c r="T83" s="95"/>
      <c r="U83" s="95"/>
      <c r="V83" s="67"/>
      <c r="X83" s="11" t="str">
        <f t="shared" si="9"/>
        <v>Forecast gains/losses on disposal (intra year) 2011</v>
      </c>
    </row>
    <row r="84" spans="1:24" s="11" customFormat="1" x14ac:dyDescent="0.25">
      <c r="A84" s="41" t="str">
        <f>$A$83</f>
        <v>Forecast gains/losses on disposal (intra year)</v>
      </c>
      <c r="B84" s="96">
        <v>2012</v>
      </c>
      <c r="C84" s="43" t="s">
        <v>10</v>
      </c>
      <c r="D84" s="100"/>
      <c r="E84" s="95"/>
      <c r="F84" s="95"/>
      <c r="G84" s="95"/>
      <c r="H84" s="95"/>
      <c r="I84" s="95"/>
      <c r="J84" s="95"/>
      <c r="K84" s="95"/>
      <c r="L84" s="95"/>
      <c r="M84" s="95"/>
      <c r="N84" s="95"/>
      <c r="O84" s="95"/>
      <c r="P84" s="95"/>
      <c r="Q84" s="95"/>
      <c r="R84" s="95"/>
      <c r="S84" s="95"/>
      <c r="T84" s="95"/>
      <c r="U84" s="95"/>
      <c r="V84" s="67"/>
      <c r="X84" s="11" t="str">
        <f t="shared" si="9"/>
        <v>Forecast gains/losses on disposal (intra year) 2012</v>
      </c>
    </row>
    <row r="85" spans="1:24" s="11" customFormat="1" x14ac:dyDescent="0.25">
      <c r="A85" s="41" t="str">
        <f t="shared" ref="A85:A87" si="12">$A$83</f>
        <v>Forecast gains/losses on disposal (intra year)</v>
      </c>
      <c r="B85" s="96">
        <v>2013</v>
      </c>
      <c r="C85" s="43" t="s">
        <v>10</v>
      </c>
      <c r="D85" s="100"/>
      <c r="E85" s="95"/>
      <c r="F85" s="95"/>
      <c r="G85" s="95"/>
      <c r="H85" s="95"/>
      <c r="I85" s="95"/>
      <c r="J85" s="95"/>
      <c r="K85" s="95"/>
      <c r="L85" s="95"/>
      <c r="M85" s="95"/>
      <c r="N85" s="95"/>
      <c r="O85" s="95"/>
      <c r="P85" s="95"/>
      <c r="Q85" s="95"/>
      <c r="R85" s="95"/>
      <c r="S85" s="95"/>
      <c r="T85" s="95"/>
      <c r="U85" s="95"/>
      <c r="V85" s="67"/>
      <c r="X85" s="11" t="str">
        <f t="shared" si="9"/>
        <v>Forecast gains/losses on disposal (intra year) 2013</v>
      </c>
    </row>
    <row r="86" spans="1:24" s="11" customFormat="1" x14ac:dyDescent="0.25">
      <c r="A86" s="41" t="str">
        <f t="shared" si="12"/>
        <v>Forecast gains/losses on disposal (intra year)</v>
      </c>
      <c r="B86" s="96">
        <v>2014</v>
      </c>
      <c r="C86" s="43" t="s">
        <v>10</v>
      </c>
      <c r="D86" s="100"/>
      <c r="E86" s="95"/>
      <c r="F86" s="95"/>
      <c r="G86" s="95"/>
      <c r="H86" s="95"/>
      <c r="I86" s="95"/>
      <c r="J86" s="95"/>
      <c r="K86" s="95"/>
      <c r="L86" s="95"/>
      <c r="M86" s="95"/>
      <c r="N86" s="95"/>
      <c r="O86" s="95"/>
      <c r="P86" s="95"/>
      <c r="Q86" s="95"/>
      <c r="R86" s="95"/>
      <c r="S86" s="95"/>
      <c r="T86" s="95"/>
      <c r="U86" s="95"/>
      <c r="V86" s="67"/>
      <c r="X86" s="11" t="str">
        <f t="shared" si="9"/>
        <v>Forecast gains/losses on disposal (intra year) 2014</v>
      </c>
    </row>
    <row r="87" spans="1:24" s="11" customFormat="1" x14ac:dyDescent="0.25">
      <c r="A87" s="41" t="str">
        <f t="shared" si="12"/>
        <v>Forecast gains/losses on disposal (intra year)</v>
      </c>
      <c r="B87" s="96">
        <v>2015</v>
      </c>
      <c r="C87" s="43" t="s">
        <v>10</v>
      </c>
      <c r="D87" s="100"/>
      <c r="E87" s="95"/>
      <c r="F87" s="95"/>
      <c r="G87" s="95"/>
      <c r="H87" s="95"/>
      <c r="I87" s="95"/>
      <c r="J87" s="95"/>
      <c r="K87" s="95"/>
      <c r="L87" s="95"/>
      <c r="M87" s="95"/>
      <c r="N87" s="95"/>
      <c r="O87" s="95"/>
      <c r="P87" s="95"/>
      <c r="Q87" s="95"/>
      <c r="R87" s="95"/>
      <c r="S87" s="95"/>
      <c r="T87" s="95"/>
      <c r="U87" s="95"/>
      <c r="V87" s="67"/>
      <c r="X87" s="11" t="str">
        <f t="shared" si="9"/>
        <v>Forecast gains/losses on disposal (intra year) 2015</v>
      </c>
    </row>
    <row r="88" spans="1:24" s="11" customFormat="1" x14ac:dyDescent="0.25">
      <c r="A88" s="41" t="s">
        <v>149</v>
      </c>
      <c r="B88" s="96">
        <v>2011</v>
      </c>
      <c r="C88" s="43" t="s">
        <v>10</v>
      </c>
      <c r="D88" s="100"/>
      <c r="E88" s="95">
        <v>6.4629153765773371</v>
      </c>
      <c r="F88" s="95">
        <v>628.22691634950843</v>
      </c>
      <c r="G88" s="95">
        <v>24.611066557488723</v>
      </c>
      <c r="H88" s="95">
        <v>384.2853607413773</v>
      </c>
      <c r="I88" s="95">
        <v>466.1459586631475</v>
      </c>
      <c r="J88" s="95">
        <v>89.144233086894616</v>
      </c>
      <c r="K88" s="95">
        <v>107.88685221889965</v>
      </c>
      <c r="L88" s="95">
        <v>0</v>
      </c>
      <c r="M88" s="95">
        <v>301.22839392322675</v>
      </c>
      <c r="N88" s="95">
        <v>-289.37283500455788</v>
      </c>
      <c r="O88" s="95">
        <v>317.66302572112289</v>
      </c>
      <c r="P88" s="95">
        <v>81.140039988003338</v>
      </c>
      <c r="Q88" s="95">
        <v>44.85423521746398</v>
      </c>
      <c r="R88" s="95">
        <v>0</v>
      </c>
      <c r="S88" s="95">
        <v>289.14772269678122</v>
      </c>
      <c r="T88" s="95">
        <v>7017.0588795047979</v>
      </c>
      <c r="U88" s="95">
        <v>458.52285345373156</v>
      </c>
      <c r="V88" s="67" t="s">
        <v>163</v>
      </c>
      <c r="X88" s="11" t="str">
        <f t="shared" si="9"/>
        <v>Forecast other regulated income other than gains/losses on disposal (intra year) 2011</v>
      </c>
    </row>
    <row r="89" spans="1:24" s="11" customFormat="1" x14ac:dyDescent="0.25">
      <c r="A89" s="41" t="str">
        <f>A88</f>
        <v>Forecast other regulated income other than gains/losses on disposal (intra year)</v>
      </c>
      <c r="B89" s="96">
        <v>2012</v>
      </c>
      <c r="C89" s="43" t="s">
        <v>10</v>
      </c>
      <c r="D89" s="100"/>
      <c r="E89" s="95">
        <v>6.5644271364188667</v>
      </c>
      <c r="F89" s="95">
        <v>638.09435482620233</v>
      </c>
      <c r="G89" s="95">
        <v>24.997627812318392</v>
      </c>
      <c r="H89" s="95">
        <v>390.32125645982831</v>
      </c>
      <c r="I89" s="95">
        <v>473.46762293534363</v>
      </c>
      <c r="J89" s="95">
        <v>90.544404287212345</v>
      </c>
      <c r="K89" s="95">
        <v>109.58141010715462</v>
      </c>
      <c r="L89" s="95">
        <v>0</v>
      </c>
      <c r="M89" s="95">
        <v>305.95972995343453</v>
      </c>
      <c r="N89" s="95">
        <v>-293.91795806745671</v>
      </c>
      <c r="O89" s="95">
        <v>322.65249732930812</v>
      </c>
      <c r="P89" s="95">
        <v>82.414490877867266</v>
      </c>
      <c r="Q89" s="95">
        <v>45.558752000984363</v>
      </c>
      <c r="R89" s="95">
        <v>0</v>
      </c>
      <c r="S89" s="95">
        <v>293.68930996426997</v>
      </c>
      <c r="T89" s="95">
        <v>7127.274463999639</v>
      </c>
      <c r="U89" s="95">
        <v>465.72478308913054</v>
      </c>
      <c r="V89" s="67" t="s">
        <v>163</v>
      </c>
      <c r="X89" s="11" t="str">
        <f t="shared" si="9"/>
        <v>Forecast other regulated income other than gains/losses on disposal (intra year) 2012</v>
      </c>
    </row>
    <row r="90" spans="1:24" s="11" customFormat="1" x14ac:dyDescent="0.25">
      <c r="A90" s="41" t="str">
        <f>A88</f>
        <v>Forecast other regulated income other than gains/losses on disposal (intra year)</v>
      </c>
      <c r="B90" s="96">
        <v>2013</v>
      </c>
      <c r="C90" s="43" t="s">
        <v>10</v>
      </c>
      <c r="D90" s="100"/>
      <c r="E90" s="95">
        <v>6.6828575229006502</v>
      </c>
      <c r="F90" s="95">
        <v>649.60636638234519</v>
      </c>
      <c r="G90" s="95">
        <v>25.448615942953001</v>
      </c>
      <c r="H90" s="95">
        <v>397.36313479802112</v>
      </c>
      <c r="I90" s="95">
        <v>482.00956458623904</v>
      </c>
      <c r="J90" s="95">
        <v>92.177937354249693</v>
      </c>
      <c r="K90" s="95">
        <v>111.55839431011876</v>
      </c>
      <c r="L90" s="95">
        <v>0</v>
      </c>
      <c r="M90" s="95">
        <v>311.47962198867691</v>
      </c>
      <c r="N90" s="95">
        <v>-299.22060164083871</v>
      </c>
      <c r="O90" s="95">
        <v>328.47354753885753</v>
      </c>
      <c r="P90" s="95">
        <v>83.901350249375184</v>
      </c>
      <c r="Q90" s="95">
        <v>46.380688248424804</v>
      </c>
      <c r="R90" s="95">
        <v>0</v>
      </c>
      <c r="S90" s="95">
        <v>298.98782844300683</v>
      </c>
      <c r="T90" s="95">
        <v>7255.8593125769521</v>
      </c>
      <c r="U90" s="95">
        <v>474.1270343304293</v>
      </c>
      <c r="V90" s="67" t="s">
        <v>163</v>
      </c>
      <c r="X90" s="11" t="str">
        <f t="shared" si="9"/>
        <v>Forecast other regulated income other than gains/losses on disposal (intra year) 2013</v>
      </c>
    </row>
    <row r="91" spans="1:24" s="11" customFormat="1" x14ac:dyDescent="0.25">
      <c r="A91" s="41" t="str">
        <f>A88</f>
        <v>Forecast other regulated income other than gains/losses on disposal (intra year)</v>
      </c>
      <c r="B91" s="96">
        <v>2014</v>
      </c>
      <c r="C91" s="43" t="s">
        <v>10</v>
      </c>
      <c r="D91" s="100"/>
      <c r="E91" s="95">
        <v>6.8012879093824345</v>
      </c>
      <c r="F91" s="95">
        <v>661.11837793848804</v>
      </c>
      <c r="G91" s="95">
        <v>25.899604073587614</v>
      </c>
      <c r="H91" s="95">
        <v>404.40501313621388</v>
      </c>
      <c r="I91" s="95">
        <v>490.55150623713439</v>
      </c>
      <c r="J91" s="95">
        <v>93.811470421287027</v>
      </c>
      <c r="K91" s="95">
        <v>113.53537851308289</v>
      </c>
      <c r="L91" s="95">
        <v>0</v>
      </c>
      <c r="M91" s="95">
        <v>316.99951402391929</v>
      </c>
      <c r="N91" s="95">
        <v>-304.52324521422065</v>
      </c>
      <c r="O91" s="95">
        <v>334.29459774840689</v>
      </c>
      <c r="P91" s="95">
        <v>85.388209620883103</v>
      </c>
      <c r="Q91" s="95">
        <v>47.202624495865251</v>
      </c>
      <c r="R91" s="95">
        <v>0</v>
      </c>
      <c r="S91" s="95">
        <v>304.28634692174364</v>
      </c>
      <c r="T91" s="95">
        <v>7384.4441611542652</v>
      </c>
      <c r="U91" s="95">
        <v>482.52928557172811</v>
      </c>
      <c r="V91" s="67" t="s">
        <v>163</v>
      </c>
      <c r="X91" s="11" t="str">
        <f t="shared" si="9"/>
        <v>Forecast other regulated income other than gains/losses on disposal (intra year) 2014</v>
      </c>
    </row>
    <row r="92" spans="1:24" s="11" customFormat="1" x14ac:dyDescent="0.25">
      <c r="A92" s="41" t="str">
        <f>A88</f>
        <v>Forecast other regulated income other than gains/losses on disposal (intra year)</v>
      </c>
      <c r="B92" s="96">
        <v>2015</v>
      </c>
      <c r="C92" s="43" t="s">
        <v>10</v>
      </c>
      <c r="D92" s="100"/>
      <c r="E92" s="95">
        <v>6.9591950913581453</v>
      </c>
      <c r="F92" s="95">
        <v>676.46772668001176</v>
      </c>
      <c r="G92" s="95">
        <v>26.500921581100425</v>
      </c>
      <c r="H92" s="95">
        <v>413.79418425380425</v>
      </c>
      <c r="I92" s="95">
        <v>501.94076177166153</v>
      </c>
      <c r="J92" s="95">
        <v>95.989514510670134</v>
      </c>
      <c r="K92" s="95">
        <v>116.17135745036839</v>
      </c>
      <c r="L92" s="95">
        <v>0</v>
      </c>
      <c r="M92" s="95">
        <v>324.35937007090911</v>
      </c>
      <c r="N92" s="95">
        <v>-311.59343664539654</v>
      </c>
      <c r="O92" s="95">
        <v>342.05599802780603</v>
      </c>
      <c r="P92" s="95">
        <v>87.370688782893652</v>
      </c>
      <c r="Q92" s="95">
        <v>48.298539492452498</v>
      </c>
      <c r="R92" s="95">
        <v>0</v>
      </c>
      <c r="S92" s="95">
        <v>311.35103822672608</v>
      </c>
      <c r="T92" s="95">
        <v>7555.8906259240148</v>
      </c>
      <c r="U92" s="95">
        <v>493.73228722679301</v>
      </c>
      <c r="V92" s="67" t="s">
        <v>163</v>
      </c>
      <c r="X92" s="11" t="str">
        <f t="shared" si="9"/>
        <v>Forecast other regulated income other than gains/losses on disposal (intra year) 2015</v>
      </c>
    </row>
    <row r="93" spans="1:24" s="11" customFormat="1" x14ac:dyDescent="0.25">
      <c r="A93" s="81" t="s">
        <v>181</v>
      </c>
      <c r="B93" s="96">
        <v>2013</v>
      </c>
      <c r="C93" s="43" t="s">
        <v>10</v>
      </c>
      <c r="D93" s="100"/>
      <c r="E93" s="95">
        <v>0</v>
      </c>
      <c r="F93" s="95">
        <v>0</v>
      </c>
      <c r="G93" s="95">
        <v>0</v>
      </c>
      <c r="H93" s="95">
        <v>0</v>
      </c>
      <c r="I93" s="95">
        <v>0</v>
      </c>
      <c r="J93" s="95">
        <v>0</v>
      </c>
      <c r="K93" s="95">
        <v>0</v>
      </c>
      <c r="L93" s="95">
        <v>0</v>
      </c>
      <c r="M93" s="95">
        <v>0</v>
      </c>
      <c r="N93" s="95">
        <v>0</v>
      </c>
      <c r="O93" s="95">
        <v>0</v>
      </c>
      <c r="P93" s="95">
        <v>305</v>
      </c>
      <c r="Q93" s="95">
        <v>0</v>
      </c>
      <c r="R93" s="95">
        <v>1571.7560000000001</v>
      </c>
      <c r="S93" s="95">
        <v>135</v>
      </c>
      <c r="T93" s="95">
        <v>0</v>
      </c>
      <c r="U93" s="95">
        <v>0</v>
      </c>
      <c r="V93" s="67"/>
      <c r="X93" s="11" t="str">
        <f t="shared" si="9"/>
        <v>Actual financial incentives (intra year) 2013</v>
      </c>
    </row>
    <row r="94" spans="1:24" s="11" customFormat="1" x14ac:dyDescent="0.25">
      <c r="A94" s="81" t="s">
        <v>181</v>
      </c>
      <c r="B94" s="96">
        <v>2014</v>
      </c>
      <c r="C94" s="43" t="s">
        <v>10</v>
      </c>
      <c r="D94" s="100"/>
      <c r="E94" s="95">
        <v>0</v>
      </c>
      <c r="F94" s="95">
        <v>0</v>
      </c>
      <c r="G94" s="95">
        <v>0</v>
      </c>
      <c r="H94" s="95">
        <v>0</v>
      </c>
      <c r="I94" s="95">
        <v>0</v>
      </c>
      <c r="J94" s="95">
        <v>0</v>
      </c>
      <c r="K94" s="95">
        <v>0</v>
      </c>
      <c r="L94" s="95">
        <v>0</v>
      </c>
      <c r="M94" s="95">
        <v>0</v>
      </c>
      <c r="N94" s="95">
        <v>0</v>
      </c>
      <c r="O94" s="95">
        <v>0</v>
      </c>
      <c r="P94" s="95">
        <v>305</v>
      </c>
      <c r="Q94" s="95">
        <v>0</v>
      </c>
      <c r="R94" s="95">
        <v>1711.069</v>
      </c>
      <c r="S94" s="95">
        <v>229</v>
      </c>
      <c r="T94" s="95">
        <v>0</v>
      </c>
      <c r="U94" s="95">
        <v>0</v>
      </c>
      <c r="V94" s="67"/>
      <c r="X94" s="11" t="str">
        <f t="shared" si="9"/>
        <v>Actual financial incentives (intra year) 2014</v>
      </c>
    </row>
    <row r="95" spans="1:24" s="11" customFormat="1" x14ac:dyDescent="0.25">
      <c r="A95" s="81" t="s">
        <v>181</v>
      </c>
      <c r="B95" s="96">
        <v>2015</v>
      </c>
      <c r="C95" s="43" t="s">
        <v>10</v>
      </c>
      <c r="D95" s="100"/>
      <c r="E95" s="95">
        <v>0</v>
      </c>
      <c r="F95" s="95">
        <v>0</v>
      </c>
      <c r="G95" s="95">
        <v>0</v>
      </c>
      <c r="H95" s="95">
        <v>0</v>
      </c>
      <c r="I95" s="95">
        <v>0</v>
      </c>
      <c r="J95" s="95">
        <v>0</v>
      </c>
      <c r="K95" s="95">
        <v>0</v>
      </c>
      <c r="L95" s="95">
        <v>0</v>
      </c>
      <c r="M95" s="95">
        <v>0</v>
      </c>
      <c r="N95" s="95">
        <v>3200.55</v>
      </c>
      <c r="O95" s="95">
        <v>1284.6099999999999</v>
      </c>
      <c r="P95" s="95">
        <v>305</v>
      </c>
      <c r="Q95" s="95">
        <v>0</v>
      </c>
      <c r="R95" s="95">
        <v>1893.1298999999999</v>
      </c>
      <c r="S95" s="95">
        <v>307</v>
      </c>
      <c r="T95" s="95">
        <v>0</v>
      </c>
      <c r="U95" s="95">
        <v>0</v>
      </c>
      <c r="V95" s="67"/>
      <c r="X95" s="11" t="str">
        <f t="shared" si="9"/>
        <v>Actual financial incentives (intra year) 2015</v>
      </c>
    </row>
    <row r="96" spans="1:24" s="11" customFormat="1" x14ac:dyDescent="0.25">
      <c r="A96" s="81" t="s">
        <v>182</v>
      </c>
      <c r="B96" s="96">
        <v>2015</v>
      </c>
      <c r="C96" s="43" t="s">
        <v>10</v>
      </c>
      <c r="D96" s="100"/>
      <c r="E96" s="95">
        <v>0</v>
      </c>
      <c r="F96" s="95">
        <v>415.93299999999999</v>
      </c>
      <c r="G96" s="95">
        <v>0</v>
      </c>
      <c r="H96" s="95">
        <v>34.377000000000002</v>
      </c>
      <c r="I96" s="95">
        <v>1142.4639999999999</v>
      </c>
      <c r="J96" s="95">
        <v>761.91966000000002</v>
      </c>
      <c r="K96" s="95">
        <v>-661.99599999999998</v>
      </c>
      <c r="L96" s="95">
        <v>344.44600000000003</v>
      </c>
      <c r="M96" s="95">
        <v>2792.6849999999999</v>
      </c>
      <c r="N96" s="95">
        <v>439.91</v>
      </c>
      <c r="O96" s="95">
        <v>1098.896</v>
      </c>
      <c r="P96" s="95">
        <v>6000</v>
      </c>
      <c r="Q96" s="95">
        <v>0</v>
      </c>
      <c r="R96" s="95">
        <v>0</v>
      </c>
      <c r="S96" s="95">
        <v>0</v>
      </c>
      <c r="T96" s="95">
        <v>-15780.263000000001</v>
      </c>
      <c r="U96" s="95">
        <v>8051</v>
      </c>
      <c r="V96" s="67" t="s">
        <v>230</v>
      </c>
      <c r="X96" s="11" t="str">
        <f t="shared" si="9"/>
        <v>Actual wash up costs (intra year) 2015</v>
      </c>
    </row>
    <row r="97" spans="1:24" s="11" customFormat="1" x14ac:dyDescent="0.25">
      <c r="A97" s="81" t="s">
        <v>241</v>
      </c>
      <c r="B97" s="96">
        <v>2015</v>
      </c>
      <c r="C97" s="43" t="s">
        <v>10</v>
      </c>
      <c r="D97" s="100"/>
      <c r="E97" s="95">
        <v>11689.018688182099</v>
      </c>
      <c r="F97" s="95">
        <v>0</v>
      </c>
      <c r="G97" s="95">
        <v>1928.82530416635</v>
      </c>
      <c r="H97" s="95">
        <v>0</v>
      </c>
      <c r="I97" s="95">
        <v>0</v>
      </c>
      <c r="J97" s="95">
        <v>0</v>
      </c>
      <c r="K97" s="95">
        <v>0</v>
      </c>
      <c r="L97" s="95">
        <v>0</v>
      </c>
      <c r="M97" s="95">
        <v>0</v>
      </c>
      <c r="N97" s="95">
        <v>0</v>
      </c>
      <c r="O97" s="95">
        <v>0</v>
      </c>
      <c r="P97" s="95">
        <v>0</v>
      </c>
      <c r="Q97" s="95">
        <v>0</v>
      </c>
      <c r="R97" s="95">
        <v>7543.0702384373199</v>
      </c>
      <c r="S97" s="95">
        <v>9754.4521722234094</v>
      </c>
      <c r="T97" s="95">
        <v>0</v>
      </c>
      <c r="U97" s="95">
        <v>0</v>
      </c>
      <c r="V97" s="67" t="s">
        <v>231</v>
      </c>
      <c r="X97" s="11" t="str">
        <f t="shared" si="9"/>
        <v>IM clawback (year end) 2015</v>
      </c>
    </row>
    <row r="98" spans="1:24" s="11" customFormat="1" x14ac:dyDescent="0.25">
      <c r="E98" s="148"/>
      <c r="F98" s="148"/>
      <c r="G98" s="148"/>
      <c r="H98" s="148"/>
      <c r="I98" s="148"/>
      <c r="J98" s="148"/>
      <c r="K98" s="148"/>
      <c r="L98" s="148"/>
      <c r="M98" s="148"/>
      <c r="N98" s="148"/>
      <c r="O98" s="148"/>
      <c r="P98" s="148"/>
      <c r="Q98" s="148"/>
      <c r="R98" s="148"/>
      <c r="S98" s="149"/>
      <c r="T98" s="148"/>
      <c r="U98" s="148"/>
      <c r="V98" s="156"/>
    </row>
  </sheetData>
  <dataValidations count="1">
    <dataValidation type="list" allowBlank="1" showInputMessage="1" showErrorMessage="1" sqref="C6:C97">
      <formula1>#REF!</formula1>
    </dataValidation>
  </dataValidations>
  <pageMargins left="0.70866141732283472" right="0.70866141732283472" top="0.74803149606299213" bottom="0.74803149606299213" header="0.31496062992125984" footer="0.31496062992125984"/>
  <pageSetup paperSize="9" scale="33" fitToHeight="0" orientation="landscape" r:id="rId1"/>
  <headerFooter>
    <oddFooter>&amp;L&amp;F&amp;C&amp;A&amp;R&amp;P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D97E55"/>
    <pageSetUpPr fitToPage="1"/>
  </sheetPr>
  <dimension ref="A1:I39"/>
  <sheetViews>
    <sheetView showGridLines="0" view="pageBreakPreview" zoomScaleSheetLayoutView="100" workbookViewId="0"/>
  </sheetViews>
  <sheetFormatPr defaultColWidth="12.42578125" defaultRowHeight="15" x14ac:dyDescent="0.25"/>
  <cols>
    <col min="1" max="1" width="88.42578125" style="10" customWidth="1"/>
    <col min="2" max="2" width="23.28515625" style="10" customWidth="1"/>
    <col min="3" max="3" width="15.28515625" style="10" bestFit="1" customWidth="1"/>
    <col min="4" max="4" width="14.42578125" style="10" bestFit="1" customWidth="1"/>
    <col min="5" max="5" width="12.7109375" style="10" customWidth="1"/>
    <col min="6" max="6" width="12.42578125" style="11"/>
    <col min="7" max="7" width="12.42578125" style="10"/>
    <col min="8" max="8" width="2.7109375" style="10" customWidth="1"/>
  </cols>
  <sheetData>
    <row r="1" spans="1:9" ht="26.25" customHeight="1" x14ac:dyDescent="0.25">
      <c r="A1" s="93" t="s">
        <v>74</v>
      </c>
      <c r="B1" s="17"/>
      <c r="C1" s="17"/>
      <c r="D1" s="17"/>
      <c r="E1" s="17"/>
      <c r="F1" s="17"/>
    </row>
    <row r="2" spans="1:9" x14ac:dyDescent="0.25">
      <c r="A2" s="42" t="s">
        <v>77</v>
      </c>
    </row>
    <row r="3" spans="1:9" ht="30" customHeight="1" x14ac:dyDescent="0.25"/>
    <row r="4" spans="1:9" x14ac:dyDescent="0.25">
      <c r="A4" s="60" t="s">
        <v>76</v>
      </c>
      <c r="B4" s="33" t="s">
        <v>72</v>
      </c>
      <c r="C4" s="15" t="s">
        <v>71</v>
      </c>
      <c r="D4" s="15"/>
      <c r="E4" s="17"/>
      <c r="F4" s="17"/>
    </row>
    <row r="5" spans="1:9" x14ac:dyDescent="0.25">
      <c r="A5" s="34"/>
      <c r="B5" s="34"/>
      <c r="C5" s="15" t="s">
        <v>291</v>
      </c>
      <c r="D5" s="15" t="s">
        <v>292</v>
      </c>
      <c r="E5" s="17"/>
      <c r="F5" s="17"/>
      <c r="G5" s="17"/>
      <c r="H5" s="17"/>
    </row>
    <row r="6" spans="1:9" x14ac:dyDescent="0.25">
      <c r="A6" s="41" t="s">
        <v>73</v>
      </c>
      <c r="B6" s="19" t="s">
        <v>216</v>
      </c>
      <c r="C6" s="121">
        <f>HLOOKUP(B6,Data!E4:U5,2,FALSE)</f>
        <v>1</v>
      </c>
      <c r="D6" s="121">
        <f>Output!C5</f>
        <v>1</v>
      </c>
      <c r="E6" s="11"/>
      <c r="G6" s="11"/>
      <c r="H6" s="11"/>
    </row>
    <row r="7" spans="1:9" ht="30" customHeight="1" x14ac:dyDescent="0.25">
      <c r="A7" s="17"/>
      <c r="B7" s="17"/>
      <c r="C7" s="17"/>
      <c r="D7" s="17"/>
      <c r="E7" s="17"/>
      <c r="F7" s="17"/>
    </row>
    <row r="8" spans="1:9" x14ac:dyDescent="0.25">
      <c r="A8" s="44" t="s">
        <v>61</v>
      </c>
      <c r="B8" s="15" t="s">
        <v>27</v>
      </c>
      <c r="C8" s="15">
        <v>2011</v>
      </c>
      <c r="D8" s="15">
        <v>2012</v>
      </c>
      <c r="E8" s="15">
        <v>2013</v>
      </c>
      <c r="F8" s="15">
        <v>2014</v>
      </c>
      <c r="G8" s="15">
        <v>2015</v>
      </c>
    </row>
    <row r="9" spans="1:9" s="11" customFormat="1" x14ac:dyDescent="0.25">
      <c r="A9" s="41" t="str">
        <f>Data!A6</f>
        <v>Actual total regulatory income (CP, intra year)</v>
      </c>
      <c r="B9" s="102" t="str">
        <f>IFERROR(INDEX(Data!$E$6:$U$98,MATCH($A9&amp;" "&amp;B$8,Data!$X$6:$X$98,0),$D$6),"")</f>
        <v/>
      </c>
      <c r="C9" s="102">
        <f>IFERROR(INDEX(Data!$E$6:$U$98,MATCH($A9&amp;" "&amp;C$8,Data!$X$6:$X$98,0),$D$6),"")</f>
        <v>33178.281999999999</v>
      </c>
      <c r="D9" s="102">
        <f>IFERROR(INDEX(Data!$E$6:$U$98,MATCH($A9&amp;" "&amp;D$8,Data!$X$6:$X$98,0),$D$6),"")</f>
        <v>33677.773299999993</v>
      </c>
      <c r="E9" s="102">
        <f>IFERROR(INDEX(Data!$E$6:$U$98,MATCH($A9&amp;" "&amp;E$8,Data!$X$6:$X$98,0),$D$6),"")</f>
        <v>38362.652090000003</v>
      </c>
      <c r="F9" s="102">
        <f>IFERROR(INDEX(Data!$E$6:$U$98,MATCH($A9&amp;" "&amp;F$8,Data!$X$6:$X$98,0),$D$6),"")</f>
        <v>42220.542329999997</v>
      </c>
      <c r="G9" s="102">
        <f>IFERROR(INDEX(Data!$E$6:$U$98,MATCH($A9&amp;" "&amp;G$8,Data!$X$6:$X$98,0),$D$6),"")</f>
        <v>50913.07803891498</v>
      </c>
    </row>
    <row r="10" spans="1:9" x14ac:dyDescent="0.25">
      <c r="A10" s="41" t="s">
        <v>20</v>
      </c>
      <c r="B10" s="102" t="str">
        <f>IFERROR(INDEX(Data!$E$6:$U$98,MATCH($A10&amp;" "&amp;B$8,Data!$X$6:$X$98,0),$D$6),"")</f>
        <v/>
      </c>
      <c r="C10" s="102">
        <f>IFERROR(INDEX(Data!$E$6:$U$98,MATCH($A10&amp;" "&amp;C$8,Data!$X$6:$X$98,0),$D$6),"")</f>
        <v>24568</v>
      </c>
      <c r="D10" s="102">
        <f>IFERROR(INDEX(Data!$E$6:$U$98,MATCH($A10&amp;" "&amp;D$8,Data!$X$6:$X$98,0),$D$6),"")</f>
        <v>25287</v>
      </c>
      <c r="E10" s="102">
        <f>IFERROR(INDEX(Data!$E$6:$U$98,MATCH($A10&amp;" "&amp;E$8,Data!$X$6:$X$98,0),$D$6),"")</f>
        <v>26264</v>
      </c>
      <c r="F10" s="102">
        <f>IFERROR(INDEX(Data!$E$6:$U$98,MATCH($A10&amp;" "&amp;F$8,Data!$X$6:$X$98,0),$D$6),"")</f>
        <v>27753</v>
      </c>
      <c r="G10" s="102">
        <f>IFERROR(INDEX(Data!$E$6:$U$98,MATCH($A10&amp;" "&amp;G$8,Data!$X$6:$X$98,0),$D$6),"")</f>
        <v>34487</v>
      </c>
      <c r="H10" s="11"/>
      <c r="I10" s="11"/>
    </row>
    <row r="11" spans="1:9" x14ac:dyDescent="0.25">
      <c r="A11" s="41" t="s">
        <v>19</v>
      </c>
      <c r="B11" s="102" t="str">
        <f>IFERROR(INDEX(Data!$E$6:$U$98,MATCH($A11&amp;" "&amp;B$8,Data!$X$6:$X$98,0),$D$6),"")</f>
        <v/>
      </c>
      <c r="C11" s="102">
        <f>IFERROR(INDEX(Data!$E$6:$U$98,MATCH($A11&amp;" "&amp;C$8,Data!$X$6:$X$98,0),$D$6),"")</f>
        <v>23771</v>
      </c>
      <c r="D11" s="102">
        <f>IFERROR(INDEX(Data!$E$6:$U$98,MATCH($A11&amp;" "&amp;D$8,Data!$X$6:$X$98,0),$D$6),"")</f>
        <v>25214</v>
      </c>
      <c r="E11" s="102">
        <f>IFERROR(INDEX(Data!$E$6:$U$98,MATCH($A11&amp;" "&amp;E$8,Data!$X$6:$X$98,0),$D$6),"")</f>
        <v>26160</v>
      </c>
      <c r="F11" s="102">
        <f>IFERROR(INDEX(Data!$E$6:$U$98,MATCH($A11&amp;" "&amp;F$8,Data!$X$6:$X$98,0),$D$6),"")</f>
        <v>26731</v>
      </c>
      <c r="G11" s="102">
        <f>IFERROR(INDEX(Data!$E$6:$U$98,MATCH($A11&amp;" "&amp;G$8,Data!$X$6:$X$98,0),$D$6),"")</f>
        <v>33874</v>
      </c>
      <c r="H11" s="11"/>
      <c r="I11" s="11"/>
    </row>
    <row r="12" spans="1:9" x14ac:dyDescent="0.25">
      <c r="A12" s="41" t="s">
        <v>18</v>
      </c>
      <c r="B12" s="103" t="b">
        <f>IFERROR(INDEX(Data!$E$6:$U$98,MATCH($A12&amp;" "&amp;B$8,Data!$X$6:$X$98,0),$D$6),"")</f>
        <v>0</v>
      </c>
      <c r="C12" s="102" t="str">
        <f>IFERROR(INDEX(Data!$E$6:$U$98,MATCH($A12&amp;" "&amp;C$8,Data!$X$6:$X$98,0),$D$6),"")</f>
        <v/>
      </c>
      <c r="D12" s="103" t="str">
        <f>IFERROR(INDEX(Data!$E$6:$U$98,MATCH($A12&amp;" "&amp;D$8,Data!$X$6:$X$98,0),$D$6),"")</f>
        <v/>
      </c>
      <c r="E12" s="103" t="str">
        <f>IFERROR(INDEX(Data!$E$6:$U$98,MATCH($A12&amp;" "&amp;E$8,Data!$X$6:$X$98,0),$D$6),"")</f>
        <v/>
      </c>
      <c r="F12" s="103" t="str">
        <f>IFERROR(INDEX(Data!$E$6:$U$98,MATCH($A12&amp;" "&amp;F$8,Data!$X$6:$X$98,0),$D$6),"")</f>
        <v/>
      </c>
      <c r="G12" s="103" t="str">
        <f>IFERROR(INDEX(Data!$E$6:$U$98,MATCH($A12&amp;" "&amp;G$8,Data!$X$6:$X$98,0),$D$6),"")</f>
        <v/>
      </c>
      <c r="H12" s="11"/>
      <c r="I12" s="11"/>
    </row>
    <row r="13" spans="1:9" x14ac:dyDescent="0.25">
      <c r="A13" s="81" t="s">
        <v>86</v>
      </c>
      <c r="B13" s="103">
        <f>IFERROR(INDEX(Data!$E$6:$U$98,MATCH($A13&amp;" "&amp;B$8,Data!$X$6:$X$98,0),$D$6),"")</f>
        <v>0</v>
      </c>
      <c r="C13" s="102" t="str">
        <f>IFERROR(INDEX(Data!$E$6:$U$98,MATCH($A13&amp;" "&amp;C$8,Data!$X$6:$X$98,0),$D$6),"")</f>
        <v/>
      </c>
      <c r="D13" s="102" t="str">
        <f>IFERROR(INDEX(Data!$E$6:$U$98,MATCH($A13&amp;" "&amp;D$8,Data!$X$6:$X$98,0),$D$6),"")</f>
        <v/>
      </c>
      <c r="E13" s="102" t="str">
        <f>IFERROR(INDEX(Data!$E$6:$U$98,MATCH($A13&amp;" "&amp;E$8,Data!$X$6:$X$98,0),$D$6),"")</f>
        <v/>
      </c>
      <c r="F13" s="102" t="str">
        <f>IFERROR(INDEX(Data!$E$6:$U$98,MATCH($A13&amp;" "&amp;F$8,Data!$X$6:$X$98,0),$D$6),"")</f>
        <v/>
      </c>
      <c r="G13" s="102" t="str">
        <f>IFERROR(INDEX(Data!$E$6:$U$98,MATCH($A13&amp;" "&amp;G$8,Data!$X$6:$X$98,0),$D$6),"")</f>
        <v/>
      </c>
      <c r="H13" s="11"/>
      <c r="I13" s="11"/>
    </row>
    <row r="14" spans="1:9" x14ac:dyDescent="0.25">
      <c r="A14" s="41" t="s">
        <v>17</v>
      </c>
      <c r="B14" s="105" t="str">
        <f>IFERROR(INDEX(Data!$E$6:$U$98,MATCH($A14&amp;" "&amp;B$8,Data!$X$6:$X$98,0),$D$6),"")</f>
        <v/>
      </c>
      <c r="C14" s="123">
        <f>IFERROR(INDEX(Data!$E$6:$U$98,MATCH($A14&amp;" "&amp;C$8,Data!$X$6:$X$98,0),$D$6),"")</f>
        <v>2.4650391087935531E-2</v>
      </c>
      <c r="D14" s="123">
        <f>IFERROR(INDEX(Data!$E$6:$U$98,MATCH($A14&amp;" "&amp;D$8,Data!$X$6:$X$98,0),$D$6),"")</f>
        <v>1.7811704834605598E-2</v>
      </c>
      <c r="E14" s="123">
        <f>IFERROR(INDEX(Data!$E$6:$U$98,MATCH($A14&amp;" "&amp;E$8,Data!$X$6:$X$98,0),$D$6),"")</f>
        <v>4.5909090909090906E-2</v>
      </c>
      <c r="F14" s="123">
        <f>IFERROR(INDEX(Data!$E$6:$U$98,MATCH($A14&amp;" "&amp;F$8,Data!$X$6:$X$98,0),$D$6),"")</f>
        <v>1.282051282051282E-2</v>
      </c>
      <c r="G14" s="123">
        <f>IFERROR(INDEX(Data!$E$6:$U$98,MATCH($A14&amp;" "&amp;G$8,Data!$X$6:$X$98,0),$D$6),"")</f>
        <v>9.6545805621111348E-3</v>
      </c>
      <c r="H14" s="11"/>
      <c r="I14" s="11"/>
    </row>
    <row r="15" spans="1:9" x14ac:dyDescent="0.25">
      <c r="A15" s="41" t="s">
        <v>16</v>
      </c>
      <c r="B15" s="105" t="str">
        <f>IFERROR(INDEX(Data!$E$6:$U$98,MATCH($A15&amp;" "&amp;B$8,Data!$X$6:$X$98,0),$D$6),"")</f>
        <v/>
      </c>
      <c r="C15" s="104">
        <f>IFERROR(INDEX(Data!$E$6:$U$98,MATCH($A15&amp;" "&amp;C$8,Data!$X$6:$X$98,0),$D$6),"")</f>
        <v>0</v>
      </c>
      <c r="D15" s="104">
        <f>IFERROR(INDEX(Data!$E$6:$U$98,MATCH($A15&amp;" "&amp;D$8,Data!$X$6:$X$98,0),$D$6),"")</f>
        <v>0</v>
      </c>
      <c r="E15" s="104">
        <f>IFERROR(INDEX(Data!$E$6:$U$98,MATCH($A15&amp;" "&amp;E$8,Data!$X$6:$X$98,0),$D$6),"")</f>
        <v>0</v>
      </c>
      <c r="F15" s="104">
        <f>IFERROR(INDEX(Data!$E$6:$U$98,MATCH($A15&amp;" "&amp;F$8,Data!$X$6:$X$98,0),$D$6),"")</f>
        <v>-0.1</v>
      </c>
      <c r="G15" s="104">
        <f>IFERROR(INDEX(Data!$E$6:$U$98,MATCH($A15&amp;" "&amp;G$8,Data!$X$6:$X$98,0),$D$6),"")</f>
        <v>-0.1</v>
      </c>
      <c r="H15" s="11"/>
      <c r="I15" s="11"/>
    </row>
    <row r="16" spans="1:9" x14ac:dyDescent="0.25">
      <c r="A16" s="41" t="s">
        <v>15</v>
      </c>
      <c r="B16" s="106">
        <f>IFERROR(INDEX(Data!$E$6:$U$98,MATCH($A16&amp;" "&amp;B$8,Data!$X$6:$X$98,0),$D$6),"")</f>
        <v>365</v>
      </c>
      <c r="C16" s="102" t="str">
        <f>IFERROR(INDEX(Data!$E$6:$U$98,MATCH($A16&amp;" "&amp;C$8,Data!$X$6:$X$98,0),$D$6),"")</f>
        <v/>
      </c>
      <c r="D16" s="102" t="str">
        <f>IFERROR(INDEX(Data!$E$6:$U$98,MATCH($A16&amp;" "&amp;D$8,Data!$X$6:$X$98,0),$D$6),"")</f>
        <v/>
      </c>
      <c r="E16" s="102" t="str">
        <f>IFERROR(INDEX(Data!$E$6:$U$98,MATCH($A16&amp;" "&amp;E$8,Data!$X$6:$X$98,0),$D$6),"")</f>
        <v/>
      </c>
      <c r="F16" s="102" t="str">
        <f>IFERROR(INDEX(Data!$E$6:$U$98,MATCH($A16&amp;" "&amp;F$8,Data!$X$6:$X$98,0),$D$6),"")</f>
        <v/>
      </c>
      <c r="G16" s="102" t="str">
        <f>IFERROR(INDEX(Data!$E$6:$U$98,MATCH($A16&amp;" "&amp;G$8,Data!$X$6:$X$98,0),$D$6),"")</f>
        <v/>
      </c>
      <c r="H16" s="11"/>
      <c r="I16" s="11"/>
    </row>
    <row r="17" spans="1:9" x14ac:dyDescent="0.25">
      <c r="A17" s="41" t="s">
        <v>14</v>
      </c>
      <c r="B17" s="107">
        <f>IFERROR(INDEX(Data!$E$6:$U$98,MATCH($A17&amp;" "&amp;B$8,Data!$X$6:$X$98,0),$D$6),"")</f>
        <v>41216</v>
      </c>
      <c r="C17" s="108" t="str">
        <f>IFERROR(INDEX(Data!$E$6:$U$98,MATCH($A17&amp;" "&amp;C$8,Data!$X$6:$X$98,0),$D$6),"")</f>
        <v/>
      </c>
      <c r="D17" s="108" t="str">
        <f>IFERROR(INDEX(Data!$E$6:$U$98,MATCH($A17&amp;" "&amp;D$8,Data!$X$6:$X$98,0),$D$6),"")</f>
        <v/>
      </c>
      <c r="E17" s="108" t="str">
        <f>IFERROR(INDEX(Data!$E$6:$U$98,MATCH($A17&amp;" "&amp;E$8,Data!$X$6:$X$98,0),$D$6),"")</f>
        <v/>
      </c>
      <c r="F17" s="108" t="str">
        <f>IFERROR(INDEX(Data!$E$6:$U$98,MATCH($A17&amp;" "&amp;F$8,Data!$X$6:$X$98,0),$D$6),"")</f>
        <v/>
      </c>
      <c r="G17" s="108" t="str">
        <f>IFERROR(INDEX(Data!$E$6:$U$98,MATCH($A17&amp;" "&amp;G$8,Data!$X$6:$X$98,0),$D$6),"")</f>
        <v/>
      </c>
      <c r="H17" s="11"/>
      <c r="I17" s="11"/>
    </row>
    <row r="18" spans="1:9" x14ac:dyDescent="0.25">
      <c r="A18" s="41" t="s">
        <v>13</v>
      </c>
      <c r="B18" s="107">
        <f>IFERROR(INDEX(Data!$E$6:$U$98,MATCH($A18&amp;" "&amp;B$8,Data!$X$6:$X$98,0),$D$6),"")</f>
        <v>41364</v>
      </c>
      <c r="C18" s="108" t="str">
        <f>IFERROR(INDEX(Data!$E$6:$U$98,MATCH($A18&amp;" "&amp;C$8,Data!$X$6:$X$98,0),$D$6),"")</f>
        <v/>
      </c>
      <c r="D18" s="108" t="str">
        <f>IFERROR(INDEX(Data!$E$6:$U$98,MATCH($A18&amp;" "&amp;D$8,Data!$X$6:$X$98,0),$D$6),"")</f>
        <v/>
      </c>
      <c r="E18" s="108" t="str">
        <f>IFERROR(INDEX(Data!$E$6:$U$98,MATCH($A18&amp;" "&amp;E$8,Data!$X$6:$X$98,0),$D$6),"")</f>
        <v/>
      </c>
      <c r="F18" s="108" t="str">
        <f>IFERROR(INDEX(Data!$E$6:$U$98,MATCH($A18&amp;" "&amp;F$8,Data!$X$6:$X$98,0),$D$6),"")</f>
        <v/>
      </c>
      <c r="G18" s="108" t="str">
        <f>IFERROR(INDEX(Data!$E$6:$U$98,MATCH($A18&amp;" "&amp;G$8,Data!$X$6:$X$98,0),$D$6),"")</f>
        <v/>
      </c>
      <c r="H18" s="11"/>
      <c r="I18" s="11"/>
    </row>
    <row r="19" spans="1:9" x14ac:dyDescent="0.25">
      <c r="A19" s="41" t="s">
        <v>12</v>
      </c>
      <c r="B19" s="109">
        <f>IFERROR(INDEX(Data!$E$6:$U$98,MATCH($A19&amp;" "&amp;B$8,Data!$X$6:$X$98,0),$D$6),"")</f>
        <v>8.77E-2</v>
      </c>
      <c r="C19" s="108" t="str">
        <f>IFERROR(INDEX(Data!$E$6:$U$98,MATCH($A19&amp;" "&amp;C$8,Data!$X$6:$X$98,0),$D$6),"")</f>
        <v/>
      </c>
      <c r="D19" s="108" t="str">
        <f>IFERROR(INDEX(Data!$E$6:$U$98,MATCH($A19&amp;" "&amp;D$8,Data!$X$6:$X$98,0),$D$6),"")</f>
        <v/>
      </c>
      <c r="E19" s="108" t="str">
        <f>IFERROR(INDEX(Data!$E$6:$U$98,MATCH($A19&amp;" "&amp;E$8,Data!$X$6:$X$98,0),$D$6),"")</f>
        <v/>
      </c>
      <c r="F19" s="108" t="str">
        <f>IFERROR(INDEX(Data!$E$6:$U$98,MATCH($A19&amp;" "&amp;F$8,Data!$X$6:$X$98,0),$D$6),"")</f>
        <v/>
      </c>
      <c r="G19" s="108" t="str">
        <f>IFERROR(INDEX(Data!$E$6:$U$98,MATCH($A19&amp;" "&amp;G$8,Data!$X$6:$X$98,0),$D$6),"")</f>
        <v/>
      </c>
      <c r="H19" s="11"/>
      <c r="I19" s="11"/>
    </row>
    <row r="20" spans="1:9" x14ac:dyDescent="0.25">
      <c r="A20" s="41" t="s">
        <v>11</v>
      </c>
      <c r="B20" s="102">
        <f>IFERROR(INDEX(Data!$E$6:$U$98,MATCH($A20&amp;" "&amp;B$8,Data!$X$6:$X$98,0),$D$6),"")</f>
        <v>1</v>
      </c>
      <c r="C20" s="108" t="str">
        <f>IFERROR(INDEX(Data!$E$6:$U$98,MATCH($A20&amp;" "&amp;C$8,Data!$X$6:$X$98,0),$D$6),"")</f>
        <v/>
      </c>
      <c r="D20" s="108" t="str">
        <f>IFERROR(INDEX(Data!$E$6:$U$98,MATCH($A20&amp;" "&amp;D$8,Data!$X$6:$X$98,0),$D$6),"")</f>
        <v/>
      </c>
      <c r="E20" s="108" t="str">
        <f>IFERROR(INDEX(Data!$E$6:$U$98,MATCH($A20&amp;" "&amp;E$8,Data!$X$6:$X$98,0),$D$6),"")</f>
        <v/>
      </c>
      <c r="F20" s="108" t="str">
        <f>IFERROR(INDEX(Data!$E$6:$U$98,MATCH($A20&amp;" "&amp;F$8,Data!$X$6:$X$98,0),$D$6),"")</f>
        <v/>
      </c>
      <c r="G20" s="108" t="str">
        <f>IFERROR(INDEX(Data!$E$6:$U$98,MATCH($A20&amp;" "&amp;G$8,Data!$X$6:$X$98,0),$D$6),"")</f>
        <v/>
      </c>
      <c r="H20" s="11"/>
      <c r="I20" s="11"/>
    </row>
    <row r="21" spans="1:9" x14ac:dyDescent="0.25">
      <c r="A21" s="41" t="str">
        <f>Data!A39</f>
        <v>Forecast CPI change (2012 forecast) - November 2012 financial model</v>
      </c>
      <c r="B21" s="110" t="str">
        <f>IFERROR(INDEX(Data!$E$6:$U$98,MATCH($A21&amp;" "&amp;B$8,Data!$X$6:$X$98,0),$D$6),"")</f>
        <v/>
      </c>
      <c r="C21" s="110">
        <f>IFERROR(INDEX(Data!$E$6:$U$98,MATCH($A21&amp;" "&amp;C$8,Data!$X$6:$X$98,0),$D$6),"")</f>
        <v>2.4650391087935652E-2</v>
      </c>
      <c r="D21" s="110">
        <f>IFERROR(INDEX(Data!$E$6:$U$98,MATCH($A21&amp;" "&amp;D$8,Data!$X$6:$X$98,0),$D$6),"")</f>
        <v>1.7811704834605369E-2</v>
      </c>
      <c r="E21" s="110">
        <f>IFERROR(INDEX(Data!$E$6:$U$98,MATCH($A21&amp;" "&amp;E$8,Data!$X$6:$X$98,0),$D$6),"")</f>
        <v>2.5401069518716568E-2</v>
      </c>
      <c r="F21" s="110">
        <f>IFERROR(INDEX(Data!$E$6:$U$98,MATCH($A21&amp;" "&amp;F$8,Data!$X$6:$X$98,0),$D$6),"")</f>
        <v>1.2820512820512775E-2</v>
      </c>
      <c r="G21" s="110">
        <f>IFERROR(INDEX(Data!$E$6:$U$98,MATCH($A21&amp;" "&amp;G$8,Data!$X$6:$X$98,0),$D$6),"")</f>
        <v>1.9725095732576747E-2</v>
      </c>
      <c r="H21" s="11"/>
      <c r="I21" s="11"/>
    </row>
    <row r="22" spans="1:9" x14ac:dyDescent="0.25">
      <c r="A22" s="41" t="s">
        <v>9</v>
      </c>
      <c r="B22" s="110" t="str">
        <f>IFERROR(INDEX(Data!$E$6:$U$98,MATCH($A22&amp;" "&amp;B$8,Data!$X$6:$X$98,0),$D$6),"")</f>
        <v/>
      </c>
      <c r="C22" s="110">
        <f>IFERROR(INDEX(Data!$E$6:$U$98,MATCH($A22&amp;" "&amp;C$8,Data!$X$6:$X$98,0),$D$6),"")</f>
        <v>5.4803237473893323E-3</v>
      </c>
      <c r="D22" s="110">
        <f>IFERROR(INDEX(Data!$E$6:$U$98,MATCH($A22&amp;" "&amp;D$8,Data!$X$6:$X$98,0),$D$6),"")</f>
        <v>5.4803237473893323E-3</v>
      </c>
      <c r="E22" s="110">
        <f>IFERROR(INDEX(Data!$E$6:$U$98,MATCH($A22&amp;" "&amp;E$8,Data!$X$6:$X$98,0),$D$6),"")</f>
        <v>5.4803237473893323E-3</v>
      </c>
      <c r="F22" s="110">
        <f>IFERROR(INDEX(Data!$E$6:$U$98,MATCH($A22&amp;" "&amp;F$8,Data!$X$6:$X$98,0),$D$6),"")</f>
        <v>5.4803237473893323E-3</v>
      </c>
      <c r="G22" s="110">
        <f>IFERROR(INDEX(Data!$E$6:$U$98,MATCH($A22&amp;" "&amp;G$8,Data!$X$6:$X$98,0),$D$6),"")</f>
        <v>5.4803237473893323E-3</v>
      </c>
      <c r="H22" s="11"/>
      <c r="I22" s="11"/>
    </row>
    <row r="23" spans="1:9" x14ac:dyDescent="0.25">
      <c r="A23" s="41" t="s">
        <v>7</v>
      </c>
      <c r="B23" s="110" t="str">
        <f>IFERROR(INDEX(Data!$E$6:$U$98,MATCH($A23&amp;" "&amp;B$8,Data!$X$6:$X$98,0),$D$6),"")</f>
        <v/>
      </c>
      <c r="C23" s="110">
        <f>IFERROR(INDEX(Data!$E$6:$U$98,MATCH($A23&amp;" "&amp;C$8,Data!$X$6:$X$98,0),$D$6),"")</f>
        <v>2.4650391087935531E-2</v>
      </c>
      <c r="D23" s="110">
        <f>IFERROR(INDEX(Data!$E$6:$U$98,MATCH($A23&amp;" "&amp;D$8,Data!$X$6:$X$98,0),$D$6),"")</f>
        <v>1.7811704834605598E-2</v>
      </c>
      <c r="E23" s="110">
        <f>IFERROR(INDEX(Data!$E$6:$U$98,MATCH($A23&amp;" "&amp;E$8,Data!$X$6:$X$98,0),$D$6),"")</f>
        <v>4.5909090909090906E-2</v>
      </c>
      <c r="F23" s="110">
        <f>IFERROR(INDEX(Data!$E$6:$U$98,MATCH($A23&amp;" "&amp;F$8,Data!$X$6:$X$98,0),$D$6),"")</f>
        <v>1.282051282051282E-2</v>
      </c>
      <c r="G23" s="110">
        <f>IFERROR(INDEX(Data!$E$6:$U$98,MATCH($A23&amp;" "&amp;G$8,Data!$X$6:$X$98,0),$D$6),"")</f>
        <v>9.6545805621111348E-3</v>
      </c>
      <c r="H23" s="11"/>
      <c r="I23" s="11"/>
    </row>
    <row r="24" spans="1:9" s="70" customFormat="1" x14ac:dyDescent="0.25">
      <c r="A24" s="41" t="str">
        <f>Data!A54</f>
        <v>Forecast CPI change (2009 forecast) - November 2012 financial model</v>
      </c>
      <c r="B24" s="110" t="str">
        <f>IFERROR(INDEX(Data!$E$6:$U$98,MATCH($A24&amp;" "&amp;B$8,Data!$X$6:$X$98,0),$D$6),"")</f>
        <v/>
      </c>
      <c r="C24" s="110" t="str">
        <f>IFERROR(INDEX(Data!$E$6:$U$98,MATCH($A24&amp;" "&amp;C$8,Data!$X$6:$X$98,0),$D$6),"")</f>
        <v/>
      </c>
      <c r="D24" s="110">
        <f>IFERROR(INDEX(Data!$E$6:$U$98,MATCH($A24&amp;" "&amp;D$8,Data!$X$6:$X$98,0),$D$6),"")</f>
        <v>1.6991832174541255E-2</v>
      </c>
      <c r="E24" s="110">
        <f>IFERROR(INDEX(Data!$E$6:$U$98,MATCH($A24&amp;" "&amp;E$8,Data!$X$6:$X$98,0),$D$6),"")</f>
        <v>2.0741514169093644E-2</v>
      </c>
      <c r="F24" s="110">
        <f>IFERROR(INDEX(Data!$E$6:$U$98,MATCH($A24&amp;" "&amp;F$8,Data!$X$6:$X$98,0),$D$6),"")</f>
        <v>2.3759818812291389E-2</v>
      </c>
      <c r="G24" s="110">
        <f>IFERROR(INDEX(Data!$E$6:$U$98,MATCH($A24&amp;" "&amp;G$8,Data!$X$6:$X$98,0),$D$6),"")</f>
        <v>2.2164443909808984E-2</v>
      </c>
      <c r="H24" s="11"/>
      <c r="I24" s="11"/>
    </row>
    <row r="25" spans="1:9" s="70" customFormat="1" x14ac:dyDescent="0.25">
      <c r="A25" s="41" t="str">
        <f>Data!A58</f>
        <v>Expected revenue from 2012 model (row 259) - supplier x, no cap, no adj for actual inflation (revenue date)</v>
      </c>
      <c r="B25" s="102" t="str">
        <f>IFERROR(INDEX(Data!$E$6:$U$98,MATCH($A25&amp;" "&amp;B$8,Data!$X$6:$X$98,0),$D$6),"")</f>
        <v/>
      </c>
      <c r="C25" s="102" t="str">
        <f>IFERROR(INDEX(Data!$E$6:$U$98,MATCH($A25&amp;" "&amp;C$8,Data!$X$6:$X$98,0),$D$6),"")</f>
        <v/>
      </c>
      <c r="D25" s="102" t="str">
        <f>IFERROR(INDEX(Data!$E$6:$U$98,MATCH($A25&amp;" "&amp;D$8,Data!$X$6:$X$98,0),$D$6),"")</f>
        <v/>
      </c>
      <c r="E25" s="102">
        <f>IFERROR(INDEX(Data!$E$6:$U$98,MATCH($A25&amp;" "&amp;E$8,Data!$X$6:$X$98,0),$D$6),"")</f>
        <v>36270.712131340522</v>
      </c>
      <c r="F25" s="102">
        <f>IFERROR(INDEX(Data!$E$6:$U$98,MATCH($A25&amp;" "&amp;F$8,Data!$X$6:$X$98,0),$D$6),"")</f>
        <v>35606.127677340082</v>
      </c>
      <c r="G25" s="102">
        <f>IFERROR(INDEX(Data!$E$6:$U$98,MATCH($A25&amp;" "&amp;G$8,Data!$X$6:$X$98,0),$D$6),"")</f>
        <v>40254.253403055038</v>
      </c>
      <c r="H25" s="11"/>
      <c r="I25" s="11"/>
    </row>
    <row r="26" spans="1:9" x14ac:dyDescent="0.25">
      <c r="A26" s="41" t="str">
        <f>Data!A61</f>
        <v>PV of BBAR from 2012 model</v>
      </c>
      <c r="B26" s="102">
        <f>IFERROR(INDEX(Data!$E$6:$U$98,MATCH($A26&amp;" "&amp;B$8,Data!$X$6:$X$98,0),$D$6),"")</f>
        <v>98007.833668676947</v>
      </c>
      <c r="C26" s="110" t="str">
        <f>IFERROR(INDEX(Data!$E$6:$U$98,MATCH($A26&amp;" "&amp;C$8,Data!$X$6:$X$98,0),$D$6),"")</f>
        <v/>
      </c>
      <c r="D26" s="110" t="str">
        <f>IFERROR(INDEX(Data!$E$6:$U$98,MATCH($A26&amp;" "&amp;D$8,Data!$X$6:$X$98,0),$D$6),"")</f>
        <v/>
      </c>
      <c r="E26" s="110" t="str">
        <f>IFERROR(INDEX(Data!$E$6:$U$98,MATCH($A26&amp;" "&amp;E$8,Data!$X$6:$X$98,0),$D$6),"")</f>
        <v/>
      </c>
      <c r="F26" s="110" t="str">
        <f>IFERROR(INDEX(Data!$E$6:$U$98,MATCH($A26&amp;" "&amp;F$8,Data!$X$6:$X$98,0),$D$6),"")</f>
        <v/>
      </c>
      <c r="G26" s="110" t="str">
        <f>IFERROR(INDEX(Data!$E$6:$U$98,MATCH($A26&amp;" "&amp;G$8,Data!$X$6:$X$98,0),$D$6),"")</f>
        <v/>
      </c>
      <c r="H26" s="11"/>
      <c r="I26" s="11"/>
    </row>
    <row r="27" spans="1:9" x14ac:dyDescent="0.25">
      <c r="A27" s="41" t="str">
        <f>Data!A62</f>
        <v>Expected revenue from 2012 model (row 264) - supplier X, cap if applicable, no adj for 1yr inflation if capped, adj for 1yr inflation otherwise (revenue date)</v>
      </c>
      <c r="B27" s="102" t="str">
        <f>IFERROR(INDEX(Data!$E$6:$U$98,MATCH($A27&amp;" "&amp;B$8,Data!$X$6:$X$98,0),$D$6),"")</f>
        <v/>
      </c>
      <c r="C27" s="102" t="str">
        <f>IFERROR(INDEX(Data!$E$6:$U$98,MATCH($A27&amp;" "&amp;C$8,Data!$X$6:$X$98,0),$D$6),"")</f>
        <v/>
      </c>
      <c r="D27" s="102" t="str">
        <f>IFERROR(INDEX(Data!$E$6:$U$98,MATCH($A27&amp;" "&amp;D$8,Data!$X$6:$X$98,0),$D$6),"")</f>
        <v/>
      </c>
      <c r="E27" s="102">
        <f>IFERROR(INDEX(Data!$E$6:$U$98,MATCH($A27&amp;" "&amp;E$8,Data!$X$6:$X$98,0),$D$6),"")</f>
        <v>26542.12790343766</v>
      </c>
      <c r="F27" s="102">
        <f>IFERROR(INDEX(Data!$E$6:$U$98,MATCH($A27&amp;" "&amp;F$8,Data!$X$6:$X$98,0),$D$6),"")</f>
        <v>30053.847557183559</v>
      </c>
      <c r="G27" s="102">
        <f>IFERROR(INDEX(Data!$E$6:$U$98,MATCH($A27&amp;" "&amp;G$8,Data!$X$6:$X$98,0),$D$6),"")</f>
        <v>33977.162758801584</v>
      </c>
      <c r="H27" s="11"/>
      <c r="I27" s="11"/>
    </row>
    <row r="28" spans="1:9" x14ac:dyDescent="0.25">
      <c r="A28" s="41" t="str">
        <f>Data!A65</f>
        <v>PV of Forecast price path index with X=0 (base year 2013)</v>
      </c>
      <c r="B28" s="111">
        <f>IFERROR(INDEX(Data!$E$6:$U$98,MATCH($A28&amp;" "&amp;B$8,Data!$X$6:$X$98,0),$D$6),"")</f>
        <v>2.6115659998761958</v>
      </c>
      <c r="C28" s="102" t="str">
        <f>IFERROR(INDEX(Data!$E$6:$U$98,MATCH($A28&amp;" "&amp;C$8,Data!$X$6:$X$98,0),$D$6),"")</f>
        <v/>
      </c>
      <c r="D28" s="102" t="str">
        <f>IFERROR(INDEX(Data!$E$6:$U$98,MATCH($A28&amp;" "&amp;D$8,Data!$X$6:$X$98,0),$D$6),"")</f>
        <v/>
      </c>
      <c r="E28" s="102" t="str">
        <f>IFERROR(INDEX(Data!$E$6:$U$98,MATCH($A28&amp;" "&amp;E$8,Data!$X$6:$X$98,0),$D$6),"")</f>
        <v/>
      </c>
      <c r="F28" s="102" t="str">
        <f>IFERROR(INDEX(Data!$E$6:$U$98,MATCH($A28&amp;" "&amp;F$8,Data!$X$6:$X$98,0),$D$6),"")</f>
        <v/>
      </c>
      <c r="G28" s="102" t="str">
        <f>IFERROR(INDEX(Data!$E$6:$U$98,MATCH($A28&amp;" "&amp;G$8,Data!$X$6:$X$98,0),$D$6),"")</f>
        <v/>
      </c>
      <c r="H28" s="11"/>
      <c r="I28" s="11"/>
    </row>
    <row r="29" spans="1:9" s="17" customFormat="1" x14ac:dyDescent="0.25">
      <c r="A29" s="41" t="str">
        <f>Data!A66</f>
        <v>NPV wash up for 2013-15 (PV as at 31 March 2015)</v>
      </c>
      <c r="B29" s="102">
        <f>IFERROR(INDEX(Data!$E$6:$U$98,MATCH($A29&amp;" "&amp;B$8,Data!$X$6:$X$98,0),$D$6),"")</f>
        <v>12503.474397993199</v>
      </c>
      <c r="C29" s="102" t="str">
        <f>IFERROR(INDEX(Data!$E$6:$U$98,MATCH($A29&amp;" "&amp;C$8,Data!$X$6:$X$98,0),$D$6),"")</f>
        <v/>
      </c>
      <c r="D29" s="102" t="str">
        <f>IFERROR(INDEX(Data!$E$6:$U$98,MATCH($A29&amp;" "&amp;D$8,Data!$X$6:$X$98,0),$D$6),"")</f>
        <v/>
      </c>
      <c r="E29" s="102" t="str">
        <f>IFERROR(INDEX(Data!$E$6:$U$98,MATCH($A29&amp;" "&amp;E$8,Data!$X$6:$X$98,0),$D$6),"")</f>
        <v/>
      </c>
      <c r="F29" s="102" t="str">
        <f>IFERROR(INDEX(Data!$E$6:$U$98,MATCH($A29&amp;" "&amp;F$8,Data!$X$6:$X$98,0),$D$6),"")</f>
        <v/>
      </c>
      <c r="G29" s="102" t="str">
        <f>IFERROR(INDEX(Data!$E$6:$U$98,MATCH($A29&amp;" "&amp;G$8,Data!$X$6:$X$98,0),$D$6),"")</f>
        <v/>
      </c>
      <c r="H29" s="11"/>
      <c r="I29" s="11"/>
    </row>
    <row r="30" spans="1:9" s="11" customFormat="1" x14ac:dyDescent="0.25">
      <c r="A30" s="41" t="str">
        <f>Data!A67</f>
        <v>Estimated MAR from Nov 2012 model corresponding to disclosed ANR for 12/13 (rev date)</v>
      </c>
      <c r="B30" s="102">
        <f>IFERROR(INDEX(Data!$E$6:$U$98,MATCH($A30&amp;" "&amp;B$8,Data!$X$6:$X$98,0),$D$6),"")</f>
        <v>26542.12790343766</v>
      </c>
      <c r="C30" s="102" t="str">
        <f>IFERROR(INDEX(Data!$E$6:$U$98,MATCH($A30&amp;" "&amp;C$8,Data!$X$6:$X$98,0),$D$6),"")</f>
        <v/>
      </c>
      <c r="D30" s="102" t="str">
        <f>IFERROR(INDEX(Data!$E$6:$U$98,MATCH($A30&amp;" "&amp;D$8,Data!$X$6:$X$98,0),$D$6),"")</f>
        <v/>
      </c>
      <c r="E30" s="102" t="str">
        <f>IFERROR(INDEX(Data!$E$6:$U$98,MATCH($A30&amp;" "&amp;E$8,Data!$X$6:$X$98,0),$D$6),"")</f>
        <v/>
      </c>
      <c r="F30" s="102" t="str">
        <f>IFERROR(INDEX(Data!$E$6:$U$98,MATCH($A30&amp;" "&amp;F$8,Data!$X$6:$X$98,0),$D$6),"")</f>
        <v/>
      </c>
      <c r="G30" s="102" t="str">
        <f>IFERROR(INDEX(Data!$E$6:$U$98,MATCH($A30&amp;" "&amp;G$8,Data!$X$6:$X$98,0),$D$6),"")</f>
        <v/>
      </c>
    </row>
    <row r="31" spans="1:9" s="11" customFormat="1" x14ac:dyDescent="0.25">
      <c r="A31" s="41" t="str">
        <f>Data!A68</f>
        <v>Actual pass through costs and recoverable costs (intra year)</v>
      </c>
      <c r="B31" s="102" t="str">
        <f>IFERROR(INDEX(Data!$E$6:$U$98,MATCH($A31&amp;" "&amp;B$8,Data!$X$6:$X$98,0),$D$6),"")</f>
        <v/>
      </c>
      <c r="C31" s="102">
        <f>IFERROR(INDEX(Data!$E$6:$U$98,MATCH($A31&amp;" "&amp;C$8,Data!$X$6:$X$98,0),$D$6),"")</f>
        <v>10176.654</v>
      </c>
      <c r="D31" s="102">
        <f>IFERROR(INDEX(Data!$E$6:$U$98,MATCH($A31&amp;" "&amp;D$8,Data!$X$6:$X$98,0),$D$6),"")</f>
        <v>9871.7729999999992</v>
      </c>
      <c r="E31" s="102">
        <f>IFERROR(INDEX(Data!$E$6:$U$98,MATCH($A31&amp;" "&amp;E$8,Data!$X$6:$X$98,0),$D$6),"")</f>
        <v>12744.85839365217</v>
      </c>
      <c r="F31" s="102">
        <f>IFERROR(INDEX(Data!$E$6:$U$98,MATCH($A31&amp;" "&amp;F$8,Data!$X$6:$X$98,0),$D$6),"")</f>
        <v>12953.077938</v>
      </c>
      <c r="G31" s="102">
        <f>IFERROR(INDEX(Data!$E$6:$U$98,MATCH($A31&amp;" "&amp;G$8,Data!$X$6:$X$98,0),$D$6),"")</f>
        <v>14704.13914582609</v>
      </c>
    </row>
    <row r="32" spans="1:9" s="11" customFormat="1" x14ac:dyDescent="0.25">
      <c r="A32" s="41" t="str">
        <f>Data!A73</f>
        <v>Actual gains/losses on disposal (intra year)</v>
      </c>
      <c r="B32" s="102" t="str">
        <f>IFERROR(INDEX(Data!$E$6:$U$98,MATCH($A32&amp;" "&amp;B$8,Data!$X$6:$X$98,0),$D$6),"")</f>
        <v/>
      </c>
      <c r="C32" s="102">
        <f>IFERROR(INDEX(Data!$E$6:$U$98,MATCH($A32&amp;" "&amp;C$8,Data!$X$6:$X$98,0),$D$6),"")</f>
        <v>-245.42506160569513</v>
      </c>
      <c r="D32" s="102">
        <f>IFERROR(INDEX(Data!$E$6:$U$98,MATCH($A32&amp;" "&amp;D$8,Data!$X$6:$X$98,0),$D$6),"")</f>
        <v>-129.46393</v>
      </c>
      <c r="E32" s="102">
        <f>IFERROR(INDEX(Data!$E$6:$U$98,MATCH($A32&amp;" "&amp;E$8,Data!$X$6:$X$98,0),$D$6),"")</f>
        <v>-538.80521999999996</v>
      </c>
      <c r="F32" s="102">
        <f>IFERROR(INDEX(Data!$E$6:$U$98,MATCH($A32&amp;" "&amp;F$8,Data!$X$6:$X$98,0),$D$6),"")</f>
        <v>-168.47564</v>
      </c>
      <c r="G32" s="102">
        <f>IFERROR(INDEX(Data!$E$6:$U$98,MATCH($A32&amp;" "&amp;G$8,Data!$X$6:$X$98,0),$D$6),"")</f>
        <v>-225.33927108503539</v>
      </c>
    </row>
    <row r="33" spans="1:9" s="11" customFormat="1" x14ac:dyDescent="0.25">
      <c r="A33" s="41" t="str">
        <f>Data!A78</f>
        <v>Actual other regulated income other than gains/losses on disposal (intra year)</v>
      </c>
      <c r="B33" s="102" t="str">
        <f>IFERROR(INDEX(Data!$E$6:$U$98,MATCH($A33&amp;" "&amp;B$8,Data!$X$6:$X$98,0),$D$6),"")</f>
        <v/>
      </c>
      <c r="C33" s="102">
        <f>IFERROR(INDEX(Data!$E$6:$U$98,MATCH($A33&amp;" "&amp;C$8,Data!$X$6:$X$98,0),$D$6),"")</f>
        <v>0.67100000000000004</v>
      </c>
      <c r="D33" s="102">
        <f>IFERROR(INDEX(Data!$E$6:$U$98,MATCH($A33&amp;" "&amp;D$8,Data!$X$6:$X$98,0),$D$6),"")</f>
        <v>10.18113</v>
      </c>
      <c r="E33" s="102">
        <f>IFERROR(INDEX(Data!$E$6:$U$98,MATCH($A33&amp;" "&amp;E$8,Data!$X$6:$X$98,0),$D$6),"")</f>
        <v>28.584330000000001</v>
      </c>
      <c r="F33" s="102">
        <f>IFERROR(INDEX(Data!$E$6:$U$98,MATCH($A33&amp;" "&amp;F$8,Data!$X$6:$X$98,0),$D$6),"")</f>
        <v>26.671710000000001</v>
      </c>
      <c r="G33" s="102">
        <f>IFERROR(INDEX(Data!$E$6:$U$98,MATCH($A33&amp;" "&amp;G$8,Data!$X$6:$X$98,0),$D$6),"")</f>
        <v>4.2423899999999994</v>
      </c>
    </row>
    <row r="34" spans="1:9" s="11" customFormat="1" x14ac:dyDescent="0.25">
      <c r="A34" s="41" t="str">
        <f>Data!A83</f>
        <v>Forecast gains/losses on disposal (intra year)</v>
      </c>
      <c r="B34" s="102" t="str">
        <f>IFERROR(INDEX(Data!$E$6:$U$98,MATCH($A34&amp;" "&amp;B$8,Data!$X$6:$X$98,0),$D$6),"")</f>
        <v/>
      </c>
      <c r="C34" s="102">
        <f>IFERROR(INDEX(Data!$E$6:$U$98,MATCH($A34&amp;" "&amp;C$8,Data!$X$6:$X$98,0),$D$6),"")</f>
        <v>0</v>
      </c>
      <c r="D34" s="102">
        <f>IFERROR(INDEX(Data!$E$6:$U$98,MATCH($A34&amp;" "&amp;D$8,Data!$X$6:$X$98,0),$D$6),"")</f>
        <v>0</v>
      </c>
      <c r="E34" s="102">
        <f>IFERROR(INDEX(Data!$E$6:$U$98,MATCH($A34&amp;" "&amp;E$8,Data!$X$6:$X$98,0),$D$6),"")</f>
        <v>0</v>
      </c>
      <c r="F34" s="102">
        <f>IFERROR(INDEX(Data!$E$6:$U$98,MATCH($A34&amp;" "&amp;F$8,Data!$X$6:$X$98,0),$D$6),"")</f>
        <v>0</v>
      </c>
      <c r="G34" s="102">
        <f>IFERROR(INDEX(Data!$E$6:$U$98,MATCH($A34&amp;" "&amp;G$8,Data!$X$6:$X$98,0),$D$6),"")</f>
        <v>0</v>
      </c>
    </row>
    <row r="35" spans="1:9" s="11" customFormat="1" x14ac:dyDescent="0.25">
      <c r="A35" s="41" t="str">
        <f>Data!A88</f>
        <v>Forecast other regulated income other than gains/losses on disposal (intra year)</v>
      </c>
      <c r="B35" s="102" t="str">
        <f>IFERROR(INDEX(Data!$E$6:$U$98,MATCH($A35&amp;" "&amp;B$8,Data!$X$6:$X$98,0),$D$6),"")</f>
        <v/>
      </c>
      <c r="C35" s="102">
        <f>IFERROR(INDEX(Data!$E$6:$U$98,MATCH($A35&amp;" "&amp;C$8,Data!$X$6:$X$98,0),$D$6),"")</f>
        <v>6.4629153765773371</v>
      </c>
      <c r="D35" s="102">
        <f>IFERROR(INDEX(Data!$E$6:$U$98,MATCH($A35&amp;" "&amp;D$8,Data!$X$6:$X$98,0),$D$6),"")</f>
        <v>6.5644271364188667</v>
      </c>
      <c r="E35" s="102">
        <f>IFERROR(INDEX(Data!$E$6:$U$98,MATCH($A35&amp;" "&amp;E$8,Data!$X$6:$X$98,0),$D$6),"")</f>
        <v>6.6828575229006502</v>
      </c>
      <c r="F35" s="102">
        <f>IFERROR(INDEX(Data!$E$6:$U$98,MATCH($A35&amp;" "&amp;F$8,Data!$X$6:$X$98,0),$D$6),"")</f>
        <v>6.8012879093824345</v>
      </c>
      <c r="G35" s="102">
        <f>IFERROR(INDEX(Data!$E$6:$U$98,MATCH($A35&amp;" "&amp;G$8,Data!$X$6:$X$98,0),$D$6),"")</f>
        <v>6.9591950913581453</v>
      </c>
    </row>
    <row r="36" spans="1:9" s="11" customFormat="1" x14ac:dyDescent="0.25">
      <c r="A36" s="41" t="str">
        <f>Data!A95</f>
        <v>Actual financial incentives (intra year)</v>
      </c>
      <c r="B36" s="102" t="str">
        <f>IFERROR(INDEX(Data!$E$6:$U$98,MATCH($A36&amp;" "&amp;B$8,Data!$X$6:$X$98,0),$D$6),"")</f>
        <v/>
      </c>
      <c r="C36" s="102" t="str">
        <f>IFERROR(INDEX(Data!$E$6:$U$98,MATCH($A36&amp;" "&amp;C$8,Data!$X$6:$X$98,0),$D$6),"")</f>
        <v/>
      </c>
      <c r="D36" s="102" t="str">
        <f>IFERROR(INDEX(Data!$E$6:$U$98,MATCH($A36&amp;" "&amp;D$8,Data!$X$6:$X$98,0),$D$6),"")</f>
        <v/>
      </c>
      <c r="E36" s="102">
        <f>IFERROR(INDEX(Data!$E$6:$U$98,MATCH($A36&amp;" "&amp;E$8,Data!$X$6:$X$98,0),$D$6),"")</f>
        <v>0</v>
      </c>
      <c r="F36" s="102">
        <f>IFERROR(INDEX(Data!$E$6:$U$98,MATCH($A36&amp;" "&amp;F$8,Data!$X$6:$X$98,0),$D$6),"")</f>
        <v>0</v>
      </c>
      <c r="G36" s="102">
        <f>IFERROR(INDEX(Data!$E$6:$U$98,MATCH($A36&amp;" "&amp;G$8,Data!$X$6:$X$98,0),$D$6),"")</f>
        <v>0</v>
      </c>
    </row>
    <row r="37" spans="1:9" s="11" customFormat="1" x14ac:dyDescent="0.25">
      <c r="A37" s="41" t="str">
        <f>Data!A96</f>
        <v>Actual wash up costs (intra year)</v>
      </c>
      <c r="B37" s="102" t="str">
        <f>IFERROR(INDEX(Data!$E$6:$U$98,MATCH($A37&amp;" "&amp;B$8,Data!$X$6:$X$98,0),$D$6),"")</f>
        <v/>
      </c>
      <c r="C37" s="102" t="str">
        <f>IFERROR(INDEX(Data!$E$6:$U$98,MATCH($A37&amp;" "&amp;C$8,Data!$X$6:$X$98,0),$D$6),"")</f>
        <v/>
      </c>
      <c r="D37" s="102" t="str">
        <f>IFERROR(INDEX(Data!$E$6:$U$98,MATCH($A37&amp;" "&amp;D$8,Data!$X$6:$X$98,0),$D$6),"")</f>
        <v/>
      </c>
      <c r="E37" s="102" t="str">
        <f>IFERROR(INDEX(Data!$E$6:$U$98,MATCH($A37&amp;" "&amp;E$8,Data!$X$6:$X$98,0),$D$6),"")</f>
        <v/>
      </c>
      <c r="F37" s="102" t="str">
        <f>IFERROR(INDEX(Data!$E$6:$U$98,MATCH($A37&amp;" "&amp;F$8,Data!$X$6:$X$98,0),$D$6),"")</f>
        <v/>
      </c>
      <c r="G37" s="102">
        <f>IFERROR(INDEX(Data!$E$6:$U$98,MATCH($A37&amp;" "&amp;G$8,Data!$X$6:$X$98,0),$D$6),"")</f>
        <v>0</v>
      </c>
    </row>
    <row r="38" spans="1:9" s="11" customFormat="1" x14ac:dyDescent="0.25">
      <c r="A38" s="41" t="str">
        <f>Data!A97</f>
        <v>IM clawback (year end)</v>
      </c>
      <c r="B38" s="102" t="str">
        <f>IFERROR(INDEX(Data!$E$6:$U$98,MATCH($A38&amp;" "&amp;B$8,Data!$X$6:$X$98,0),$D$6),"")</f>
        <v/>
      </c>
      <c r="C38" s="102" t="str">
        <f>IFERROR(INDEX(Data!$E$6:$U$98,MATCH($A38&amp;" "&amp;C$8,Data!$X$6:$X$98,0),$D$6),"")</f>
        <v/>
      </c>
      <c r="D38" s="102" t="str">
        <f>IFERROR(INDEX(Data!$E$6:$U$98,MATCH($A38&amp;" "&amp;D$8,Data!$X$6:$X$98,0),$D$6),"")</f>
        <v/>
      </c>
      <c r="E38" s="102" t="str">
        <f>IFERROR(INDEX(Data!$E$6:$U$98,MATCH($A38&amp;" "&amp;E$8,Data!$X$6:$X$98,0),$D$6),"")</f>
        <v/>
      </c>
      <c r="F38" s="102" t="str">
        <f>IFERROR(INDEX(Data!$E$6:$U$98,MATCH($A38&amp;" "&amp;F$8,Data!$X$6:$X$98,0),$D$6),"")</f>
        <v/>
      </c>
      <c r="G38" s="102">
        <f>IFERROR(INDEX(Data!$E$6:$U$98,MATCH($A38&amp;" "&amp;G$8,Data!$X$6:$X$98,0),$D$6),"")</f>
        <v>11689.018688182099</v>
      </c>
    </row>
    <row r="39" spans="1:9" x14ac:dyDescent="0.25">
      <c r="A39" s="11"/>
      <c r="B39" s="11"/>
      <c r="C39" s="11"/>
      <c r="D39" s="11"/>
      <c r="E39" s="11"/>
      <c r="G39" s="11"/>
      <c r="H39" s="11"/>
      <c r="I39" s="11"/>
    </row>
  </sheetData>
  <pageMargins left="0.70866141732283472" right="0.70866141732283472" top="0.74803149606299213" bottom="0.74803149606299213" header="0.31496062992125984" footer="0.31496062992125984"/>
  <pageSetup paperSize="9" scale="72" fitToHeight="0" orientation="landscape" r:id="rId1"/>
  <headerFooter>
    <oddFooter>&amp;L&amp;F&amp;C&amp;A&amp;R&amp;P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Data!$E$4:$U$4</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D97E55"/>
    <pageSetUpPr fitToPage="1"/>
  </sheetPr>
  <dimension ref="A1:I237"/>
  <sheetViews>
    <sheetView showGridLines="0" view="pageBreakPreview" zoomScaleSheetLayoutView="100" workbookViewId="0"/>
  </sheetViews>
  <sheetFormatPr defaultColWidth="12.42578125" defaultRowHeight="15" x14ac:dyDescent="0.25"/>
  <cols>
    <col min="1" max="1" width="77.42578125" style="11" customWidth="1"/>
    <col min="2" max="2" width="27.28515625" style="12" customWidth="1"/>
    <col min="3" max="8" width="14.28515625" style="11" customWidth="1"/>
    <col min="9" max="9" width="2.7109375" style="11" customWidth="1"/>
  </cols>
  <sheetData>
    <row r="1" spans="1:9" ht="30" customHeight="1" x14ac:dyDescent="0.25">
      <c r="A1" s="89" t="s">
        <v>164</v>
      </c>
      <c r="B1" s="11"/>
    </row>
    <row r="2" spans="1:9" ht="15.75" x14ac:dyDescent="0.25">
      <c r="A2" s="124"/>
      <c r="B2" s="125"/>
      <c r="G2" s="126" t="str">
        <f>Selection!$B$6</f>
        <v>Alpine Energy</v>
      </c>
    </row>
    <row r="3" spans="1:9" ht="30" customHeight="1" x14ac:dyDescent="0.35">
      <c r="A3" s="134" t="s">
        <v>165</v>
      </c>
      <c r="B3" s="150"/>
      <c r="C3" s="150"/>
      <c r="D3" s="150"/>
      <c r="E3" s="150"/>
      <c r="F3" s="150"/>
      <c r="G3" s="150"/>
      <c r="H3" s="150"/>
    </row>
    <row r="4" spans="1:9" ht="30" customHeight="1" x14ac:dyDescent="0.35">
      <c r="A4" s="130" t="s">
        <v>168</v>
      </c>
      <c r="B4" s="15" t="s">
        <v>27</v>
      </c>
      <c r="C4" s="150"/>
      <c r="D4" s="150"/>
      <c r="E4" s="150"/>
      <c r="F4" s="150"/>
      <c r="G4" s="150"/>
      <c r="H4" s="150"/>
    </row>
    <row r="5" spans="1:9" x14ac:dyDescent="0.25">
      <c r="A5" s="44"/>
      <c r="B5" s="44"/>
      <c r="C5" s="150"/>
      <c r="D5" s="150"/>
      <c r="E5" s="150"/>
      <c r="F5" s="150"/>
      <c r="G5" s="150"/>
      <c r="H5" s="150"/>
    </row>
    <row r="6" spans="1:9" x14ac:dyDescent="0.25">
      <c r="A6" s="141" t="s">
        <v>15</v>
      </c>
      <c r="B6" s="103">
        <f>Selection!B16</f>
        <v>365</v>
      </c>
      <c r="C6" s="150" t="str">
        <f>Selection!C16</f>
        <v/>
      </c>
      <c r="D6" s="150" t="str">
        <f>Selection!D16</f>
        <v/>
      </c>
      <c r="E6" s="150" t="str">
        <f>Selection!E16</f>
        <v/>
      </c>
      <c r="F6" s="150" t="str">
        <f>Selection!F16</f>
        <v/>
      </c>
      <c r="G6" s="150" t="str">
        <f>Selection!G16</f>
        <v/>
      </c>
      <c r="H6" s="150"/>
    </row>
    <row r="7" spans="1:9" x14ac:dyDescent="0.25">
      <c r="A7" s="141" t="s">
        <v>14</v>
      </c>
      <c r="B7" s="138">
        <f>Selection!B17</f>
        <v>41216</v>
      </c>
      <c r="C7" s="150" t="str">
        <f>Selection!C17</f>
        <v/>
      </c>
      <c r="D7" s="150" t="str">
        <f>Selection!D17</f>
        <v/>
      </c>
      <c r="E7" s="150" t="str">
        <f>Selection!E17</f>
        <v/>
      </c>
      <c r="F7" s="150" t="str">
        <f>Selection!F17</f>
        <v/>
      </c>
      <c r="G7" s="150" t="str">
        <f>Selection!G17</f>
        <v/>
      </c>
      <c r="H7" s="150"/>
    </row>
    <row r="8" spans="1:9" ht="15.75" x14ac:dyDescent="0.25">
      <c r="A8" s="141" t="s">
        <v>13</v>
      </c>
      <c r="B8" s="138">
        <f>Selection!B18</f>
        <v>41364</v>
      </c>
      <c r="C8" s="150" t="str">
        <f>Selection!C18</f>
        <v/>
      </c>
      <c r="D8" s="150" t="str">
        <f>Selection!D18</f>
        <v/>
      </c>
      <c r="E8" s="150" t="str">
        <f>Selection!E18</f>
        <v/>
      </c>
      <c r="F8" s="150" t="str">
        <f>Selection!F18</f>
        <v/>
      </c>
      <c r="G8" s="150" t="str">
        <f>Selection!G18</f>
        <v/>
      </c>
      <c r="H8" s="150"/>
      <c r="I8" s="13"/>
    </row>
    <row r="9" spans="1:9" x14ac:dyDescent="0.25">
      <c r="A9" s="141" t="s">
        <v>11</v>
      </c>
      <c r="B9" s="103">
        <f>Selection!B20</f>
        <v>1</v>
      </c>
      <c r="C9" s="150" t="str">
        <f>Selection!C19</f>
        <v/>
      </c>
      <c r="D9" s="150" t="str">
        <f>Selection!D19</f>
        <v/>
      </c>
      <c r="E9" s="150" t="str">
        <f>Selection!E19</f>
        <v/>
      </c>
      <c r="F9" s="150" t="str">
        <f>Selection!F19</f>
        <v/>
      </c>
      <c r="G9" s="150" t="str">
        <f>Selection!G19</f>
        <v/>
      </c>
      <c r="H9" s="150"/>
    </row>
    <row r="10" spans="1:9" x14ac:dyDescent="0.25">
      <c r="A10" s="141" t="s">
        <v>12</v>
      </c>
      <c r="B10" s="110">
        <f>Selection!B19</f>
        <v>8.77E-2</v>
      </c>
      <c r="C10" s="150" t="str">
        <f>Selection!C20</f>
        <v/>
      </c>
      <c r="D10" s="150" t="str">
        <f>Selection!D20</f>
        <v/>
      </c>
      <c r="E10" s="150" t="str">
        <f>Selection!E20</f>
        <v/>
      </c>
      <c r="F10" s="150" t="str">
        <f>Selection!F20</f>
        <v/>
      </c>
      <c r="G10" s="150" t="str">
        <f>Selection!G20</f>
        <v/>
      </c>
      <c r="H10" s="150"/>
    </row>
    <row r="11" spans="1:9" ht="30" customHeight="1" x14ac:dyDescent="0.35">
      <c r="A11" s="130" t="s">
        <v>169</v>
      </c>
      <c r="B11" s="15" t="s">
        <v>27</v>
      </c>
      <c r="C11" s="150"/>
      <c r="D11" s="150"/>
      <c r="E11" s="150"/>
      <c r="F11" s="150"/>
      <c r="G11" s="150"/>
      <c r="H11" s="150"/>
    </row>
    <row r="12" spans="1:9" x14ac:dyDescent="0.25">
      <c r="A12" s="141" t="s">
        <v>18</v>
      </c>
      <c r="B12" s="103" t="b">
        <f>Selection!B12</f>
        <v>0</v>
      </c>
      <c r="C12" s="150"/>
      <c r="D12" s="150"/>
      <c r="E12" s="150"/>
      <c r="F12" s="150"/>
      <c r="G12" s="150"/>
      <c r="H12" s="150"/>
    </row>
    <row r="13" spans="1:9" x14ac:dyDescent="0.25">
      <c r="A13" s="141" t="str">
        <f>Selection!A13</f>
        <v>MAR value in determination (revenue date)</v>
      </c>
      <c r="B13" s="102">
        <f>Selection!B13</f>
        <v>0</v>
      </c>
      <c r="C13" s="150"/>
      <c r="D13" s="150"/>
      <c r="E13" s="150"/>
      <c r="F13" s="150"/>
      <c r="G13" s="150"/>
      <c r="H13" s="150"/>
    </row>
    <row r="14" spans="1:9" x14ac:dyDescent="0.25">
      <c r="A14" s="141" t="str">
        <f>Selection!A26</f>
        <v>PV of BBAR from 2012 model</v>
      </c>
      <c r="B14" s="103">
        <f>Selection!B26</f>
        <v>98007.833668676947</v>
      </c>
      <c r="C14" s="150"/>
      <c r="D14" s="150"/>
      <c r="E14" s="150"/>
      <c r="F14" s="150"/>
      <c r="G14" s="150"/>
      <c r="H14" s="150"/>
    </row>
    <row r="15" spans="1:9" x14ac:dyDescent="0.25">
      <c r="A15" s="141" t="str">
        <f>Selection!A28</f>
        <v>PV of Forecast price path index with X=0 (base year 2013)</v>
      </c>
      <c r="B15" s="139">
        <f>Selection!B28</f>
        <v>2.6115659998761958</v>
      </c>
      <c r="C15" s="150"/>
      <c r="D15" s="150"/>
      <c r="E15" s="150"/>
      <c r="F15" s="150"/>
      <c r="G15" s="150"/>
      <c r="H15" s="150"/>
    </row>
    <row r="16" spans="1:9" x14ac:dyDescent="0.25">
      <c r="A16" s="141" t="s">
        <v>125</v>
      </c>
      <c r="B16" s="103">
        <f>Selection!B30</f>
        <v>26542.12790343766</v>
      </c>
      <c r="C16" s="150"/>
      <c r="D16" s="150"/>
      <c r="E16" s="150"/>
      <c r="F16" s="150"/>
      <c r="G16" s="150"/>
      <c r="H16" s="150"/>
    </row>
    <row r="17" spans="1:9" x14ac:dyDescent="0.25">
      <c r="A17" s="141" t="s">
        <v>240</v>
      </c>
      <c r="B17" s="102">
        <f>Selection!F31</f>
        <v>12953.077938</v>
      </c>
      <c r="C17" s="150"/>
      <c r="D17" s="150"/>
      <c r="E17" s="150"/>
      <c r="F17" s="150"/>
      <c r="G17" s="150"/>
      <c r="H17" s="150"/>
    </row>
    <row r="18" spans="1:9" x14ac:dyDescent="0.25">
      <c r="A18" s="141" t="s">
        <v>182</v>
      </c>
      <c r="B18" s="102">
        <f>Selection!G37</f>
        <v>0</v>
      </c>
      <c r="C18" s="150"/>
      <c r="D18" s="150"/>
      <c r="E18" s="150"/>
      <c r="F18" s="150"/>
      <c r="G18" s="150"/>
      <c r="H18" s="150"/>
    </row>
    <row r="19" spans="1:9" x14ac:dyDescent="0.25">
      <c r="A19" s="141" t="s">
        <v>241</v>
      </c>
      <c r="B19" s="102">
        <f>Selection!G38</f>
        <v>11689.018688182099</v>
      </c>
      <c r="C19" s="150"/>
      <c r="D19" s="150"/>
      <c r="E19" s="150"/>
      <c r="F19" s="150"/>
      <c r="G19" s="150"/>
      <c r="H19" s="150"/>
    </row>
    <row r="20" spans="1:9" x14ac:dyDescent="0.25">
      <c r="A20" s="141" t="s">
        <v>122</v>
      </c>
      <c r="B20" s="103">
        <f>Selection!B29</f>
        <v>12503.474397993199</v>
      </c>
      <c r="C20" s="150"/>
      <c r="D20" s="150"/>
      <c r="E20" s="150"/>
      <c r="F20" s="150"/>
      <c r="G20" s="150"/>
      <c r="H20" s="150"/>
    </row>
    <row r="21" spans="1:9" ht="30" customHeight="1" x14ac:dyDescent="0.35">
      <c r="A21" s="130" t="s">
        <v>170</v>
      </c>
      <c r="B21" s="127"/>
      <c r="C21" s="129"/>
      <c r="D21" s="129"/>
      <c r="E21" s="129"/>
      <c r="F21" s="129"/>
      <c r="G21" s="129"/>
      <c r="H21" s="128"/>
      <c r="I21" s="129"/>
    </row>
    <row r="22" spans="1:9" ht="18.75" x14ac:dyDescent="0.3">
      <c r="A22" s="137"/>
      <c r="B22" s="137"/>
      <c r="C22" s="158">
        <v>2011</v>
      </c>
      <c r="D22" s="15">
        <v>2012</v>
      </c>
      <c r="E22" s="15">
        <v>2013</v>
      </c>
      <c r="F22" s="15">
        <v>2014</v>
      </c>
      <c r="G22" s="15">
        <v>2015</v>
      </c>
      <c r="H22" s="128"/>
      <c r="I22" s="129"/>
    </row>
    <row r="23" spans="1:9" x14ac:dyDescent="0.25">
      <c r="A23" s="141" t="str">
        <f>Selection!A24</f>
        <v>Forecast CPI change (2009 forecast) - November 2012 financial model</v>
      </c>
      <c r="B23" s="118"/>
      <c r="C23" s="155" t="str">
        <f>Selection!C24</f>
        <v/>
      </c>
      <c r="D23" s="155">
        <f>Selection!D24</f>
        <v>1.6991832174541255E-2</v>
      </c>
      <c r="E23" s="155">
        <f>Selection!E24</f>
        <v>2.0741514169093644E-2</v>
      </c>
      <c r="F23" s="155">
        <f>Selection!F24</f>
        <v>2.3759818812291389E-2</v>
      </c>
      <c r="G23" s="155">
        <f>Selection!G24</f>
        <v>2.2164443909808984E-2</v>
      </c>
      <c r="H23" s="150"/>
    </row>
    <row r="24" spans="1:9" x14ac:dyDescent="0.25">
      <c r="A24" s="141" t="s">
        <v>94</v>
      </c>
      <c r="B24" s="109" t="str">
        <f>Selection!B21</f>
        <v/>
      </c>
      <c r="C24" s="109">
        <f>Selection!C21</f>
        <v>2.4650391087935652E-2</v>
      </c>
      <c r="D24" s="109">
        <f>Selection!D21</f>
        <v>1.7811704834605369E-2</v>
      </c>
      <c r="E24" s="109">
        <f>Selection!E21</f>
        <v>2.5401069518716568E-2</v>
      </c>
      <c r="F24" s="109">
        <f>Selection!F21</f>
        <v>1.2820512820512775E-2</v>
      </c>
      <c r="G24" s="109">
        <f>Selection!G21</f>
        <v>1.9725095732576747E-2</v>
      </c>
    </row>
    <row r="25" spans="1:9" x14ac:dyDescent="0.25">
      <c r="A25" s="141" t="s">
        <v>17</v>
      </c>
      <c r="B25" s="109" t="str">
        <f>Selection!B14</f>
        <v/>
      </c>
      <c r="C25" s="109">
        <f>Selection!C14</f>
        <v>2.4650391087935531E-2</v>
      </c>
      <c r="D25" s="109">
        <f>Selection!D14</f>
        <v>1.7811704834605598E-2</v>
      </c>
      <c r="E25" s="109">
        <f>Selection!E14</f>
        <v>4.5909090909090906E-2</v>
      </c>
      <c r="F25" s="109">
        <f>Selection!F14</f>
        <v>1.282051282051282E-2</v>
      </c>
      <c r="G25" s="109">
        <f>Selection!G14</f>
        <v>9.6545805621111348E-3</v>
      </c>
    </row>
    <row r="26" spans="1:9" x14ac:dyDescent="0.25">
      <c r="A26" s="141" t="str">
        <f>Selection!A24</f>
        <v>Forecast CPI change (2009 forecast) - November 2012 financial model</v>
      </c>
      <c r="B26" s="118" t="str">
        <f>Selection!B24</f>
        <v/>
      </c>
      <c r="C26" s="110" t="str">
        <f>Selection!C24</f>
        <v/>
      </c>
      <c r="D26" s="110">
        <f>Selection!D24</f>
        <v>1.6991832174541255E-2</v>
      </c>
      <c r="E26" s="110">
        <f>Selection!E24</f>
        <v>2.0741514169093644E-2</v>
      </c>
      <c r="F26" s="110">
        <f>Selection!F24</f>
        <v>2.3759818812291389E-2</v>
      </c>
      <c r="G26" s="110">
        <f>Selection!G24</f>
        <v>2.2164443909808984E-2</v>
      </c>
    </row>
    <row r="27" spans="1:9" x14ac:dyDescent="0.25">
      <c r="A27" s="141" t="s">
        <v>94</v>
      </c>
      <c r="B27" s="118" t="str">
        <f>Selection!B21</f>
        <v/>
      </c>
      <c r="C27" s="110">
        <f>Selection!C21</f>
        <v>2.4650391087935652E-2</v>
      </c>
      <c r="D27" s="110">
        <f>Selection!D21</f>
        <v>1.7811704834605369E-2</v>
      </c>
      <c r="E27" s="110">
        <f>Selection!E21</f>
        <v>2.5401069518716568E-2</v>
      </c>
      <c r="F27" s="110">
        <f>Selection!F21</f>
        <v>1.2820512820512775E-2</v>
      </c>
      <c r="G27" s="110">
        <f>Selection!G21</f>
        <v>1.9725095732576747E-2</v>
      </c>
    </row>
    <row r="28" spans="1:9" x14ac:dyDescent="0.25">
      <c r="A28" s="141" t="str">
        <f>Selection!A22</f>
        <v>Forecast CPRG</v>
      </c>
      <c r="B28" s="118" t="str">
        <f>Selection!B22</f>
        <v/>
      </c>
      <c r="C28" s="110">
        <f>Selection!C22</f>
        <v>5.4803237473893323E-3</v>
      </c>
      <c r="D28" s="110">
        <f>Selection!D22</f>
        <v>5.4803237473893323E-3</v>
      </c>
      <c r="E28" s="110">
        <f>Selection!E22</f>
        <v>5.4803237473893323E-3</v>
      </c>
      <c r="F28" s="110">
        <f>Selection!F22</f>
        <v>5.4803237473893323E-3</v>
      </c>
      <c r="G28" s="110">
        <f>Selection!G22</f>
        <v>5.4803237473893323E-3</v>
      </c>
    </row>
    <row r="29" spans="1:9" x14ac:dyDescent="0.25">
      <c r="A29" s="141" t="s">
        <v>16</v>
      </c>
      <c r="B29" s="120" t="str">
        <f>Selection!B15</f>
        <v/>
      </c>
      <c r="C29" s="140">
        <f>Selection!C15</f>
        <v>0</v>
      </c>
      <c r="D29" s="140">
        <f>Selection!D15</f>
        <v>0</v>
      </c>
      <c r="E29" s="140">
        <f>Selection!E15</f>
        <v>0</v>
      </c>
      <c r="F29" s="140">
        <f>Selection!F15</f>
        <v>-0.1</v>
      </c>
      <c r="G29" s="140">
        <f>Selection!G15</f>
        <v>-0.1</v>
      </c>
    </row>
    <row r="30" spans="1:9" ht="33.75" customHeight="1" x14ac:dyDescent="0.35">
      <c r="A30" s="130" t="s">
        <v>171</v>
      </c>
      <c r="B30" s="20"/>
      <c r="C30" s="27"/>
      <c r="D30" s="27"/>
      <c r="E30" s="27"/>
      <c r="F30" s="27"/>
      <c r="G30" s="27"/>
    </row>
    <row r="31" spans="1:9" x14ac:dyDescent="0.25">
      <c r="A31" s="141" t="s">
        <v>20</v>
      </c>
      <c r="B31" s="102" t="str">
        <f>Selection!B10</f>
        <v/>
      </c>
      <c r="C31" s="102">
        <f>Selection!C10</f>
        <v>24568</v>
      </c>
      <c r="D31" s="102">
        <f>Selection!D10</f>
        <v>25287</v>
      </c>
      <c r="E31" s="102">
        <f>Selection!E10</f>
        <v>26264</v>
      </c>
      <c r="F31" s="102">
        <f>Selection!F10</f>
        <v>27753</v>
      </c>
      <c r="G31" s="102">
        <f>Selection!G10</f>
        <v>34487</v>
      </c>
    </row>
    <row r="32" spans="1:9" x14ac:dyDescent="0.25">
      <c r="A32" s="141" t="s">
        <v>19</v>
      </c>
      <c r="B32" s="102" t="str">
        <f>Selection!B11</f>
        <v/>
      </c>
      <c r="C32" s="102">
        <f>Selection!C11</f>
        <v>23771</v>
      </c>
      <c r="D32" s="102">
        <f>Selection!D11</f>
        <v>25214</v>
      </c>
      <c r="E32" s="102">
        <f>Selection!E11</f>
        <v>26160</v>
      </c>
      <c r="F32" s="102">
        <f>Selection!F11</f>
        <v>26731</v>
      </c>
      <c r="G32" s="102">
        <f>Selection!G11</f>
        <v>33874</v>
      </c>
    </row>
    <row r="33" spans="1:7" x14ac:dyDescent="0.25">
      <c r="A33" s="141" t="str">
        <f>Selection!A9</f>
        <v>Actual total regulatory income (CP, intra year)</v>
      </c>
      <c r="B33" s="102" t="str">
        <f>Selection!B9</f>
        <v/>
      </c>
      <c r="C33" s="102">
        <f>Selection!C9</f>
        <v>33178.281999999999</v>
      </c>
      <c r="D33" s="102">
        <f>Selection!D9</f>
        <v>33677.773299999993</v>
      </c>
      <c r="E33" s="102">
        <f>Selection!E9</f>
        <v>38362.652090000003</v>
      </c>
      <c r="F33" s="102">
        <f>Selection!F9</f>
        <v>42220.542329999997</v>
      </c>
      <c r="G33" s="102">
        <f>Selection!G9</f>
        <v>50913.07803891498</v>
      </c>
    </row>
    <row r="34" spans="1:7" x14ac:dyDescent="0.25">
      <c r="A34" s="141" t="str">
        <f>Selection!A31</f>
        <v>Actual pass through costs and recoverable costs (intra year)</v>
      </c>
      <c r="B34" s="102" t="str">
        <f>Selection!B31</f>
        <v/>
      </c>
      <c r="C34" s="102">
        <f>Selection!C31</f>
        <v>10176.654</v>
      </c>
      <c r="D34" s="102">
        <f>Selection!D31</f>
        <v>9871.7729999999992</v>
      </c>
      <c r="E34" s="102">
        <f>Selection!E31</f>
        <v>12744.85839365217</v>
      </c>
      <c r="F34" s="102">
        <f>Selection!F31</f>
        <v>12953.077938</v>
      </c>
      <c r="G34" s="102">
        <f>Selection!G31</f>
        <v>14704.13914582609</v>
      </c>
    </row>
    <row r="35" spans="1:7" x14ac:dyDescent="0.25">
      <c r="A35" s="141" t="str">
        <f>Selection!A36</f>
        <v>Actual financial incentives (intra year)</v>
      </c>
      <c r="B35" s="102"/>
      <c r="C35" s="102" t="str">
        <f>Selection!C36</f>
        <v/>
      </c>
      <c r="D35" s="102" t="str">
        <f>Selection!D36</f>
        <v/>
      </c>
      <c r="E35" s="102">
        <f>Selection!E36</f>
        <v>0</v>
      </c>
      <c r="F35" s="102">
        <f>Selection!F36</f>
        <v>0</v>
      </c>
      <c r="G35" s="102">
        <f>Selection!G36</f>
        <v>0</v>
      </c>
    </row>
    <row r="36" spans="1:7" x14ac:dyDescent="0.25">
      <c r="A36" s="141" t="str">
        <f>Selection!A37</f>
        <v>Actual wash up costs (intra year)</v>
      </c>
      <c r="B36" s="102" t="str">
        <f>Selection!B37</f>
        <v/>
      </c>
      <c r="C36" s="102" t="str">
        <f>Selection!C37</f>
        <v/>
      </c>
      <c r="D36" s="102" t="str">
        <f>Selection!D37</f>
        <v/>
      </c>
      <c r="E36" s="102" t="str">
        <f>Selection!E37</f>
        <v/>
      </c>
      <c r="F36" s="102" t="str">
        <f>Selection!F37</f>
        <v/>
      </c>
      <c r="G36" s="102">
        <f>Selection!G37</f>
        <v>0</v>
      </c>
    </row>
    <row r="37" spans="1:7" x14ac:dyDescent="0.25">
      <c r="A37" s="141" t="str">
        <f>Selection!A32</f>
        <v>Actual gains/losses on disposal (intra year)</v>
      </c>
      <c r="B37" s="102" t="str">
        <f>Selection!B32</f>
        <v/>
      </c>
      <c r="C37" s="102">
        <f>Selection!C32</f>
        <v>-245.42506160569513</v>
      </c>
      <c r="D37" s="102">
        <f>Selection!D32</f>
        <v>-129.46393</v>
      </c>
      <c r="E37" s="102">
        <f>Selection!E32</f>
        <v>-538.80521999999996</v>
      </c>
      <c r="F37" s="102">
        <f>Selection!F32</f>
        <v>-168.47564</v>
      </c>
      <c r="G37" s="102">
        <f>Selection!G32</f>
        <v>-225.33927108503539</v>
      </c>
    </row>
    <row r="38" spans="1:7" x14ac:dyDescent="0.25">
      <c r="A38" s="141" t="str">
        <f>Selection!A33</f>
        <v>Actual other regulated income other than gains/losses on disposal (intra year)</v>
      </c>
      <c r="B38" s="102" t="str">
        <f>Selection!B33</f>
        <v/>
      </c>
      <c r="C38" s="102">
        <f>Selection!C33</f>
        <v>0.67100000000000004</v>
      </c>
      <c r="D38" s="102">
        <f>Selection!D33</f>
        <v>10.18113</v>
      </c>
      <c r="E38" s="102">
        <f>Selection!E33</f>
        <v>28.584330000000001</v>
      </c>
      <c r="F38" s="102">
        <f>Selection!F33</f>
        <v>26.671710000000001</v>
      </c>
      <c r="G38" s="102">
        <f>Selection!G33</f>
        <v>4.2423899999999994</v>
      </c>
    </row>
    <row r="39" spans="1:7" x14ac:dyDescent="0.25">
      <c r="A39" s="141" t="str">
        <f>Selection!A34</f>
        <v>Forecast gains/losses on disposal (intra year)</v>
      </c>
      <c r="B39" s="102" t="str">
        <f>Selection!B34</f>
        <v/>
      </c>
      <c r="C39" s="102">
        <f>Selection!C34</f>
        <v>0</v>
      </c>
      <c r="D39" s="102">
        <f>Selection!D34</f>
        <v>0</v>
      </c>
      <c r="E39" s="102">
        <f>Selection!E34</f>
        <v>0</v>
      </c>
      <c r="F39" s="102">
        <f>Selection!F34</f>
        <v>0</v>
      </c>
      <c r="G39" s="102">
        <f>Selection!G34</f>
        <v>0</v>
      </c>
    </row>
    <row r="40" spans="1:7" x14ac:dyDescent="0.25">
      <c r="A40" s="141" t="str">
        <f>Selection!A35</f>
        <v>Forecast other regulated income other than gains/losses on disposal (intra year)</v>
      </c>
      <c r="B40" s="102" t="str">
        <f>Selection!B35</f>
        <v/>
      </c>
      <c r="C40" s="102">
        <f>Selection!C35</f>
        <v>6.4629153765773371</v>
      </c>
      <c r="D40" s="102">
        <f>Selection!D35</f>
        <v>6.5644271364188667</v>
      </c>
      <c r="E40" s="102">
        <f>Selection!E35</f>
        <v>6.6828575229006502</v>
      </c>
      <c r="F40" s="102">
        <f>Selection!F35</f>
        <v>6.8012879093824345</v>
      </c>
      <c r="G40" s="102">
        <f>Selection!G35</f>
        <v>6.9591950913581453</v>
      </c>
    </row>
    <row r="41" spans="1:7" x14ac:dyDescent="0.25">
      <c r="A41" s="141" t="str">
        <f>Selection!A25</f>
        <v>Expected revenue from 2012 model (row 259) - supplier x, no cap, no adj for actual inflation (revenue date)</v>
      </c>
      <c r="B41" s="12" t="str">
        <f>Selection!B25</f>
        <v/>
      </c>
      <c r="C41" s="102" t="str">
        <f>Selection!C25</f>
        <v/>
      </c>
      <c r="D41" s="102" t="str">
        <f>Selection!D25</f>
        <v/>
      </c>
      <c r="E41" s="103">
        <f>Selection!E25</f>
        <v>36270.712131340522</v>
      </c>
      <c r="F41" s="103">
        <f>Selection!F25</f>
        <v>35606.127677340082</v>
      </c>
      <c r="G41" s="103">
        <f>Selection!G25</f>
        <v>40254.253403055038</v>
      </c>
    </row>
    <row r="42" spans="1:7" x14ac:dyDescent="0.25">
      <c r="A42" s="141" t="str">
        <f>Selection!A27</f>
        <v>Expected revenue from 2012 model (row 264) - supplier X, cap if applicable, no adj for 1yr inflation if capped, adj for 1yr inflation otherwise (revenue date)</v>
      </c>
      <c r="B42" s="119" t="str">
        <f>Selection!B27</f>
        <v/>
      </c>
      <c r="C42" s="119" t="str">
        <f>Selection!C27</f>
        <v/>
      </c>
      <c r="D42" s="119" t="str">
        <f>Selection!D27</f>
        <v/>
      </c>
      <c r="E42" s="103">
        <f>Selection!E27</f>
        <v>26542.12790343766</v>
      </c>
      <c r="F42" s="103">
        <f>Selection!F27</f>
        <v>30053.847557183559</v>
      </c>
      <c r="G42" s="103">
        <f>Selection!G27</f>
        <v>33977.162758801584</v>
      </c>
    </row>
    <row r="43" spans="1:7" ht="37.5" customHeight="1" x14ac:dyDescent="0.35">
      <c r="A43" s="134" t="s">
        <v>164</v>
      </c>
      <c r="B43" s="11"/>
    </row>
    <row r="44" spans="1:7" ht="21" x14ac:dyDescent="0.35">
      <c r="A44" s="130" t="s">
        <v>250</v>
      </c>
      <c r="B44" s="11"/>
    </row>
    <row r="45" spans="1:7" x14ac:dyDescent="0.25">
      <c r="A45" s="72"/>
      <c r="B45" s="31"/>
      <c r="C45" s="79"/>
      <c r="D45" s="74"/>
      <c r="E45" s="15">
        <v>2013</v>
      </c>
      <c r="F45" s="15">
        <v>2014</v>
      </c>
      <c r="G45" s="15">
        <v>2015</v>
      </c>
    </row>
    <row r="46" spans="1:7" x14ac:dyDescent="0.25">
      <c r="A46" s="72" t="s">
        <v>106</v>
      </c>
      <c r="B46" s="31"/>
      <c r="C46" s="74"/>
      <c r="D46" s="74"/>
      <c r="E46" s="74">
        <v>2</v>
      </c>
      <c r="F46" s="74">
        <v>1</v>
      </c>
      <c r="G46" s="27">
        <v>0</v>
      </c>
    </row>
    <row r="47" spans="1:7" x14ac:dyDescent="0.25">
      <c r="A47" s="72" t="s">
        <v>107</v>
      </c>
      <c r="B47" s="31"/>
      <c r="C47" s="74"/>
      <c r="D47" s="74"/>
      <c r="E47" s="77">
        <f>(1+WACC)^E46</f>
        <v>1.1830912899999997</v>
      </c>
      <c r="F47" s="77">
        <f>(1+WACC)^F46</f>
        <v>1.0876999999999999</v>
      </c>
      <c r="G47" s="77">
        <f>(1+WACC)^G46</f>
        <v>1</v>
      </c>
    </row>
    <row r="48" spans="1:7" ht="30" customHeight="1" x14ac:dyDescent="0.35">
      <c r="A48" s="130" t="s">
        <v>150</v>
      </c>
      <c r="B48" s="11"/>
    </row>
    <row r="49" spans="1:8" x14ac:dyDescent="0.25">
      <c r="A49" s="137"/>
      <c r="B49" s="15" t="s">
        <v>27</v>
      </c>
      <c r="C49" s="15">
        <v>2011</v>
      </c>
      <c r="D49" s="15">
        <v>2012</v>
      </c>
      <c r="E49" s="15">
        <v>2013</v>
      </c>
      <c r="F49" s="15">
        <v>2014</v>
      </c>
      <c r="G49" s="15">
        <v>2015</v>
      </c>
      <c r="H49" s="15"/>
    </row>
    <row r="50" spans="1:8" x14ac:dyDescent="0.25">
      <c r="A50" s="41" t="s">
        <v>31</v>
      </c>
      <c r="B50" s="28">
        <f>DAYS360(Calculations!B7,Calculations!B8)</f>
        <v>148</v>
      </c>
    </row>
    <row r="51" spans="1:8" x14ac:dyDescent="0.25">
      <c r="A51" s="41" t="s">
        <v>30</v>
      </c>
      <c r="B51" s="31">
        <f>B50/Calculations!B6</f>
        <v>0.40547945205479452</v>
      </c>
    </row>
    <row r="52" spans="1:8" x14ac:dyDescent="0.25">
      <c r="A52" s="41" t="s">
        <v>29</v>
      </c>
      <c r="B52" s="31">
        <f>(Calculations!$B$9+WACC)^$B$51</f>
        <v>1.0346743941931567</v>
      </c>
    </row>
    <row r="53" spans="1:8" x14ac:dyDescent="0.25">
      <c r="A53" s="81" t="s">
        <v>87</v>
      </c>
      <c r="B53" s="136">
        <f>Calculations!B13*Timing</f>
        <v>0</v>
      </c>
    </row>
    <row r="54" spans="1:8" x14ac:dyDescent="0.25">
      <c r="A54" s="81" t="s">
        <v>158</v>
      </c>
      <c r="B54" s="28"/>
      <c r="C54" s="26">
        <f>C33*Timing</f>
        <v>34328.718828719713</v>
      </c>
      <c r="D54" s="26">
        <f>D33*Timing</f>
        <v>34845.529686951959</v>
      </c>
      <c r="E54" s="26">
        <f>E33*Timing</f>
        <v>39692.853810863591</v>
      </c>
      <c r="F54" s="26">
        <f>F33*Timing</f>
        <v>43684.514057799272</v>
      </c>
      <c r="G54" s="26">
        <f>G33*Timing</f>
        <v>52678.458176423264</v>
      </c>
      <c r="H54" s="150"/>
    </row>
    <row r="55" spans="1:8" x14ac:dyDescent="0.25">
      <c r="A55" s="81" t="s">
        <v>208</v>
      </c>
      <c r="B55" s="31"/>
      <c r="C55" s="27">
        <f>SUM(C34,C36)*Timing</f>
        <v>10529.523312363364</v>
      </c>
      <c r="D55" s="27">
        <f>SUM(D34,D36)*Timing</f>
        <v>10214.070748387359</v>
      </c>
      <c r="E55" s="27">
        <f>SUM(E34,E36)*Timing</f>
        <v>13186.778637529627</v>
      </c>
      <c r="F55" s="27">
        <f>SUM(F34,F36)*Timing</f>
        <v>13402.218068436892</v>
      </c>
      <c r="G55" s="27">
        <f>SUM(G34,G36)*Timing</f>
        <v>15213.99626283949</v>
      </c>
      <c r="H55" s="150"/>
    </row>
    <row r="56" spans="1:8" x14ac:dyDescent="0.25">
      <c r="A56" s="81" t="s">
        <v>209</v>
      </c>
      <c r="B56" s="31"/>
      <c r="C56" s="27"/>
      <c r="D56" s="27"/>
      <c r="E56" s="27">
        <f>E35*Timing</f>
        <v>0</v>
      </c>
      <c r="F56" s="27">
        <f>F35*Timing</f>
        <v>0</v>
      </c>
      <c r="G56" s="27">
        <f>G35*Timing</f>
        <v>0</v>
      </c>
      <c r="H56" s="150"/>
    </row>
    <row r="57" spans="1:8" x14ac:dyDescent="0.25">
      <c r="A57" s="81" t="s">
        <v>151</v>
      </c>
      <c r="B57" s="31"/>
      <c r="C57" s="27">
        <f t="shared" ref="C57:G60" si="0">C37*Timing</f>
        <v>-253.93502693669078</v>
      </c>
      <c r="D57" s="27">
        <f t="shared" si="0"/>
        <v>-133.95301334261524</v>
      </c>
      <c r="E57" s="27">
        <f t="shared" si="0"/>
        <v>-557.48796459161042</v>
      </c>
      <c r="F57" s="27">
        <f t="shared" si="0"/>
        <v>-174.31743075330434</v>
      </c>
      <c r="G57" s="27">
        <f t="shared" si="0"/>
        <v>-233.15277379783649</v>
      </c>
      <c r="H57" s="150"/>
    </row>
    <row r="58" spans="1:8" x14ac:dyDescent="0.25">
      <c r="A58" s="81" t="s">
        <v>152</v>
      </c>
      <c r="B58" s="31"/>
      <c r="C58" s="27">
        <f t="shared" si="0"/>
        <v>0.69426651850360821</v>
      </c>
      <c r="D58" s="27">
        <f t="shared" si="0"/>
        <v>10.534154514951773</v>
      </c>
      <c r="E58" s="27">
        <f t="shared" si="0"/>
        <v>29.575474326167274</v>
      </c>
      <c r="F58" s="27">
        <f t="shared" si="0"/>
        <v>27.596535386345558</v>
      </c>
      <c r="G58" s="27">
        <f t="shared" si="0"/>
        <v>4.3894923031811048</v>
      </c>
      <c r="H58" s="150"/>
    </row>
    <row r="59" spans="1:8" x14ac:dyDescent="0.25">
      <c r="A59" s="81" t="s">
        <v>153</v>
      </c>
      <c r="B59" s="31"/>
      <c r="C59" s="27">
        <f t="shared" si="0"/>
        <v>0</v>
      </c>
      <c r="D59" s="27">
        <f t="shared" si="0"/>
        <v>0</v>
      </c>
      <c r="E59" s="27">
        <f t="shared" si="0"/>
        <v>0</v>
      </c>
      <c r="F59" s="27">
        <f t="shared" si="0"/>
        <v>0</v>
      </c>
      <c r="G59" s="27">
        <f t="shared" si="0"/>
        <v>0</v>
      </c>
      <c r="H59" s="150"/>
    </row>
    <row r="60" spans="1:8" x14ac:dyDescent="0.25">
      <c r="A60" s="81" t="s">
        <v>154</v>
      </c>
      <c r="B60" s="31"/>
      <c r="C60" s="27">
        <f t="shared" si="0"/>
        <v>6.6870130519817934</v>
      </c>
      <c r="D60" s="27">
        <f t="shared" si="0"/>
        <v>6.7920446705993092</v>
      </c>
      <c r="E60" s="27">
        <f t="shared" si="0"/>
        <v>6.9145815589864101</v>
      </c>
      <c r="F60" s="27">
        <f t="shared" si="0"/>
        <v>7.0371184473735111</v>
      </c>
      <c r="G60" s="27">
        <f t="shared" si="0"/>
        <v>7.2005009652229788</v>
      </c>
      <c r="H60" s="150"/>
    </row>
    <row r="61" spans="1:8" ht="30" customHeight="1" x14ac:dyDescent="0.35">
      <c r="A61" s="130" t="s">
        <v>167</v>
      </c>
      <c r="B61" s="11"/>
      <c r="H61" s="150"/>
    </row>
    <row r="62" spans="1:8" x14ac:dyDescent="0.25">
      <c r="A62" s="135"/>
      <c r="B62" s="15" t="s">
        <v>27</v>
      </c>
      <c r="C62" s="15">
        <v>2011</v>
      </c>
      <c r="D62" s="15">
        <v>2012</v>
      </c>
      <c r="E62" s="15">
        <v>2013</v>
      </c>
      <c r="F62" s="15">
        <v>2014</v>
      </c>
      <c r="G62" s="15">
        <v>2015</v>
      </c>
    </row>
    <row r="63" spans="1:8" x14ac:dyDescent="0.25">
      <c r="A63" s="41" t="s">
        <v>88</v>
      </c>
      <c r="B63" s="31"/>
      <c r="C63" s="91"/>
      <c r="D63" s="91"/>
      <c r="E63" s="91">
        <v>1</v>
      </c>
      <c r="F63" s="91">
        <f>E63*(1+F23)</f>
        <v>1.0237598188122914</v>
      </c>
      <c r="G63" s="91">
        <f>F63*(1+G23)</f>
        <v>1.0464508858934727</v>
      </c>
    </row>
    <row r="64" spans="1:8" x14ac:dyDescent="0.25">
      <c r="A64" s="41" t="s">
        <v>89</v>
      </c>
      <c r="B64" s="31"/>
      <c r="C64" s="91"/>
      <c r="D64" s="91"/>
      <c r="E64" s="91">
        <v>1</v>
      </c>
      <c r="F64" s="91">
        <f>E64*(1+F28)</f>
        <v>1.0054803237473893</v>
      </c>
      <c r="G64" s="91">
        <f>F64*(1+G28)</f>
        <v>1.0109906814431548</v>
      </c>
    </row>
    <row r="65" spans="1:8" x14ac:dyDescent="0.25">
      <c r="A65" s="41" t="s">
        <v>90</v>
      </c>
      <c r="B65" s="31"/>
      <c r="C65" s="91"/>
      <c r="D65" s="91"/>
      <c r="E65" s="91">
        <f>E64*E63</f>
        <v>1</v>
      </c>
      <c r="F65" s="91">
        <f>F64*F63</f>
        <v>1.0293703540589514</v>
      </c>
      <c r="G65" s="91">
        <f>G64*G63</f>
        <v>1.057952094226235</v>
      </c>
    </row>
    <row r="66" spans="1:8" x14ac:dyDescent="0.25">
      <c r="A66" s="41" t="str">
        <f>A15</f>
        <v>PV of Forecast price path index with X=0 (base year 2013)</v>
      </c>
      <c r="B66" s="39">
        <f>B15</f>
        <v>2.6115659998761958</v>
      </c>
      <c r="C66" s="74"/>
      <c r="D66" s="74"/>
      <c r="E66" s="77"/>
      <c r="F66" s="77"/>
      <c r="G66" s="77"/>
    </row>
    <row r="67" spans="1:8" x14ac:dyDescent="0.25">
      <c r="A67" s="41"/>
      <c r="B67" s="76"/>
      <c r="C67" s="74"/>
      <c r="D67" s="74"/>
      <c r="E67" s="77"/>
      <c r="F67" s="77"/>
      <c r="G67" s="77"/>
    </row>
    <row r="68" spans="1:8" x14ac:dyDescent="0.25">
      <c r="A68" s="41" t="s">
        <v>92</v>
      </c>
      <c r="B68" s="20"/>
      <c r="C68" s="27"/>
      <c r="D68" s="27"/>
      <c r="E68" s="27">
        <f>B14/B66</f>
        <v>37528.377101449136</v>
      </c>
      <c r="F68" s="27">
        <f>$E$68*F65</f>
        <v>38630.598824176537</v>
      </c>
      <c r="G68" s="27">
        <f>$E$68*G65</f>
        <v>39703.225147389996</v>
      </c>
    </row>
    <row r="69" spans="1:8" x14ac:dyDescent="0.25">
      <c r="A69" s="41" t="s">
        <v>93</v>
      </c>
      <c r="B69" s="31"/>
      <c r="C69" s="27"/>
      <c r="D69" s="27"/>
      <c r="E69" s="27">
        <f>E41*Timing</f>
        <v>37528.377101449136</v>
      </c>
      <c r="F69" s="27">
        <f>F41*Timing</f>
        <v>36840.748584116038</v>
      </c>
      <c r="G69" s="27">
        <f>G41*Timing</f>
        <v>41650.045253503784</v>
      </c>
    </row>
    <row r="70" spans="1:8" ht="32.25" customHeight="1" x14ac:dyDescent="0.35">
      <c r="A70" s="130" t="s">
        <v>166</v>
      </c>
      <c r="B70" s="15"/>
    </row>
    <row r="71" spans="1:8" ht="26.25" x14ac:dyDescent="0.25">
      <c r="A71" s="137"/>
      <c r="B71" s="15"/>
      <c r="C71" s="15">
        <v>2011</v>
      </c>
      <c r="D71" s="15">
        <v>2012</v>
      </c>
      <c r="E71" s="15">
        <v>2013</v>
      </c>
      <c r="F71" s="15">
        <v>2014</v>
      </c>
      <c r="G71" s="15">
        <v>2015</v>
      </c>
      <c r="H71" s="15" t="s">
        <v>124</v>
      </c>
    </row>
    <row r="72" spans="1:8" x14ac:dyDescent="0.25">
      <c r="A72" s="41" t="s">
        <v>158</v>
      </c>
      <c r="B72" s="20"/>
      <c r="C72" s="26">
        <f t="shared" ref="C72:G73" si="1">C54</f>
        <v>34328.718828719713</v>
      </c>
      <c r="D72" s="26">
        <f t="shared" si="1"/>
        <v>34845.529686951959</v>
      </c>
      <c r="E72" s="26">
        <f t="shared" si="1"/>
        <v>39692.853810863591</v>
      </c>
      <c r="F72" s="26">
        <f t="shared" si="1"/>
        <v>43684.514057799272</v>
      </c>
      <c r="G72" s="26">
        <f t="shared" si="1"/>
        <v>52678.458176423264</v>
      </c>
      <c r="H72" s="26">
        <f>SUMPRODUCT(E72:G72,$E$47:$G$47)</f>
        <v>147154.37373596753</v>
      </c>
    </row>
    <row r="73" spans="1:8" x14ac:dyDescent="0.25">
      <c r="A73" s="41" t="s">
        <v>155</v>
      </c>
      <c r="B73" s="31"/>
      <c r="C73" s="26">
        <f t="shared" si="1"/>
        <v>10529.523312363364</v>
      </c>
      <c r="D73" s="26">
        <f t="shared" si="1"/>
        <v>10214.070748387359</v>
      </c>
      <c r="E73" s="26">
        <f t="shared" si="1"/>
        <v>13186.778637529627</v>
      </c>
      <c r="F73" s="26">
        <f t="shared" si="1"/>
        <v>13402.218068436892</v>
      </c>
      <c r="G73" s="26">
        <f t="shared" si="1"/>
        <v>15213.99626283949</v>
      </c>
      <c r="H73" s="26">
        <f t="shared" ref="H73:H84" si="2">SUMPRODUCT(E73:G73,$E$47:$G$47)</f>
        <v>45392.751805097665</v>
      </c>
    </row>
    <row r="74" spans="1:8" x14ac:dyDescent="0.25">
      <c r="A74" s="81" t="s">
        <v>209</v>
      </c>
      <c r="B74" s="31"/>
      <c r="C74" s="27"/>
      <c r="D74" s="27"/>
      <c r="E74" s="27">
        <f t="shared" ref="E74:G76" si="3">E56</f>
        <v>0</v>
      </c>
      <c r="F74" s="27">
        <f t="shared" si="3"/>
        <v>0</v>
      </c>
      <c r="G74" s="27">
        <f t="shared" si="3"/>
        <v>0</v>
      </c>
      <c r="H74" s="27">
        <f t="shared" si="2"/>
        <v>0</v>
      </c>
    </row>
    <row r="75" spans="1:8" x14ac:dyDescent="0.25">
      <c r="A75" s="41" t="s">
        <v>151</v>
      </c>
      <c r="B75" s="30"/>
      <c r="C75" s="26">
        <f>C57</f>
        <v>-253.93502693669078</v>
      </c>
      <c r="D75" s="26">
        <f>D57</f>
        <v>-133.95301334261524</v>
      </c>
      <c r="E75" s="26">
        <f t="shared" si="3"/>
        <v>-557.48796459161042</v>
      </c>
      <c r="F75" s="26">
        <f t="shared" si="3"/>
        <v>-174.31743075330434</v>
      </c>
      <c r="G75" s="26">
        <f t="shared" si="3"/>
        <v>-233.15277379783649</v>
      </c>
      <c r="H75" s="26">
        <f t="shared" si="2"/>
        <v>-1082.3169984163681</v>
      </c>
    </row>
    <row r="76" spans="1:8" x14ac:dyDescent="0.25">
      <c r="A76" s="41" t="s">
        <v>152</v>
      </c>
      <c r="B76" s="28"/>
      <c r="C76" s="26">
        <f>C58</f>
        <v>0.69426651850360821</v>
      </c>
      <c r="D76" s="26">
        <f>D58</f>
        <v>10.534154514951773</v>
      </c>
      <c r="E76" s="26">
        <f t="shared" si="3"/>
        <v>29.575474326167274</v>
      </c>
      <c r="F76" s="26">
        <f t="shared" si="3"/>
        <v>27.596535386345558</v>
      </c>
      <c r="G76" s="26">
        <f t="shared" si="3"/>
        <v>4.3894923031811048</v>
      </c>
      <c r="H76" s="26">
        <f t="shared" si="2"/>
        <v>69.396729915816266</v>
      </c>
    </row>
    <row r="77" spans="1:8" x14ac:dyDescent="0.25">
      <c r="A77" s="81" t="s">
        <v>210</v>
      </c>
      <c r="B77" s="28"/>
      <c r="C77" s="26">
        <f>C72-C73</f>
        <v>23799.195516356347</v>
      </c>
      <c r="D77" s="26">
        <f t="shared" ref="D77:G77" si="4">D72-D73</f>
        <v>24631.4589385646</v>
      </c>
      <c r="E77" s="26">
        <f t="shared" si="4"/>
        <v>26506.075173333964</v>
      </c>
      <c r="F77" s="26">
        <f t="shared" si="4"/>
        <v>30282.295989362377</v>
      </c>
      <c r="G77" s="26">
        <f t="shared" si="4"/>
        <v>37464.461913583771</v>
      </c>
      <c r="H77" s="26">
        <f t="shared" si="2"/>
        <v>101761.62193086986</v>
      </c>
    </row>
    <row r="78" spans="1:8" x14ac:dyDescent="0.25">
      <c r="A78" s="81" t="s">
        <v>157</v>
      </c>
      <c r="B78" s="28"/>
      <c r="C78" s="27">
        <f>C72-C73-C74-C75-C76</f>
        <v>24052.436276774533</v>
      </c>
      <c r="D78" s="27">
        <f t="shared" ref="D78:G78" si="5">D72-D73-D74-D75-D76</f>
        <v>24754.877797392262</v>
      </c>
      <c r="E78" s="27">
        <f t="shared" si="5"/>
        <v>27033.987663599408</v>
      </c>
      <c r="F78" s="27">
        <f>F72-F73-F74-F75-F76</f>
        <v>30429.016884729335</v>
      </c>
      <c r="G78" s="27">
        <f t="shared" si="5"/>
        <v>37693.225195078427</v>
      </c>
      <c r="H78" s="27">
        <f t="shared" si="2"/>
        <v>102774.54219937042</v>
      </c>
    </row>
    <row r="79" spans="1:8" x14ac:dyDescent="0.25">
      <c r="A79" s="81" t="s">
        <v>93</v>
      </c>
      <c r="B79" s="28"/>
      <c r="C79" s="27"/>
      <c r="D79" s="27"/>
      <c r="E79" s="27">
        <f>E69</f>
        <v>37528.377101449136</v>
      </c>
      <c r="F79" s="27">
        <f>F69</f>
        <v>36840.748584116038</v>
      </c>
      <c r="G79" s="27">
        <f>G69</f>
        <v>41650.045253503784</v>
      </c>
      <c r="H79" s="27">
        <f t="shared" si="2"/>
        <v>126121.22356500669</v>
      </c>
    </row>
    <row r="80" spans="1:8" x14ac:dyDescent="0.25">
      <c r="A80" s="81" t="s">
        <v>153</v>
      </c>
      <c r="B80" s="28"/>
      <c r="C80" s="27"/>
      <c r="D80" s="27"/>
      <c r="E80" s="27">
        <f t="shared" ref="E80:G81" si="6">E59</f>
        <v>0</v>
      </c>
      <c r="F80" s="27">
        <f t="shared" si="6"/>
        <v>0</v>
      </c>
      <c r="G80" s="27">
        <f t="shared" si="6"/>
        <v>0</v>
      </c>
      <c r="H80" s="27">
        <f t="shared" si="2"/>
        <v>0</v>
      </c>
    </row>
    <row r="81" spans="1:8" x14ac:dyDescent="0.25">
      <c r="A81" s="81" t="s">
        <v>154</v>
      </c>
      <c r="B81" s="28"/>
      <c r="C81" s="27"/>
      <c r="D81" s="27"/>
      <c r="E81" s="27">
        <f t="shared" si="6"/>
        <v>6.9145815589864101</v>
      </c>
      <c r="F81" s="27">
        <f t="shared" si="6"/>
        <v>7.0371184473735111</v>
      </c>
      <c r="G81" s="27">
        <f t="shared" si="6"/>
        <v>7.2005009652229788</v>
      </c>
      <c r="H81" s="27">
        <f t="shared" si="2"/>
        <v>23.035355916862589</v>
      </c>
    </row>
    <row r="82" spans="1:8" x14ac:dyDescent="0.25">
      <c r="A82" s="81" t="s">
        <v>160</v>
      </c>
      <c r="B82" s="28"/>
      <c r="C82" s="27"/>
      <c r="D82" s="27"/>
      <c r="E82" s="27">
        <f>E79+E80+E81</f>
        <v>37535.291683008123</v>
      </c>
      <c r="F82" s="27">
        <f>F79+F80+F81</f>
        <v>36847.785702563415</v>
      </c>
      <c r="G82" s="27">
        <f>G79+G80+G81</f>
        <v>41657.245754469004</v>
      </c>
      <c r="H82" s="27">
        <f t="shared" si="2"/>
        <v>126144.25892092357</v>
      </c>
    </row>
    <row r="83" spans="1:8" x14ac:dyDescent="0.25">
      <c r="A83" s="81" t="s">
        <v>277</v>
      </c>
      <c r="B83" s="28"/>
      <c r="C83" s="27"/>
      <c r="D83" s="27"/>
      <c r="E83" s="27">
        <f>E79+E76</f>
        <v>37557.9525757753</v>
      </c>
      <c r="F83" s="27">
        <f t="shared" ref="F83:G83" si="7">F79+F76</f>
        <v>36868.345119502381</v>
      </c>
      <c r="G83" s="27">
        <f t="shared" si="7"/>
        <v>41654.434745806968</v>
      </c>
      <c r="H83" s="27">
        <f t="shared" si="2"/>
        <v>126190.62029492251</v>
      </c>
    </row>
    <row r="84" spans="1:8" x14ac:dyDescent="0.25">
      <c r="A84" s="81" t="s">
        <v>161</v>
      </c>
      <c r="B84" s="28"/>
      <c r="C84" s="27"/>
      <c r="D84" s="27"/>
      <c r="E84" s="27">
        <f>E79+E75+E76</f>
        <v>37000.464611183692</v>
      </c>
      <c r="F84" s="27">
        <f>F79+F75+F76</f>
        <v>36694.027688749076</v>
      </c>
      <c r="G84" s="27">
        <f>G79+G75+G76</f>
        <v>41421.281972009128</v>
      </c>
      <c r="H84" s="27">
        <f t="shared" si="2"/>
        <v>125108.30329650614</v>
      </c>
    </row>
    <row r="85" spans="1:8" ht="33.75" customHeight="1" x14ac:dyDescent="0.35">
      <c r="A85" s="130" t="s">
        <v>60</v>
      </c>
      <c r="B85" s="11"/>
    </row>
    <row r="86" spans="1:8" ht="26.25" x14ac:dyDescent="0.25">
      <c r="A86" s="137"/>
      <c r="B86" s="142"/>
      <c r="C86" s="142">
        <v>2011</v>
      </c>
      <c r="D86" s="142">
        <v>2012</v>
      </c>
      <c r="E86" s="142">
        <v>2013</v>
      </c>
      <c r="F86" s="142">
        <v>2014</v>
      </c>
      <c r="G86" s="142">
        <v>2015</v>
      </c>
      <c r="H86" s="15" t="s">
        <v>283</v>
      </c>
    </row>
    <row r="87" spans="1:8" x14ac:dyDescent="0.25">
      <c r="A87" s="41" t="s">
        <v>251</v>
      </c>
      <c r="B87" s="28"/>
      <c r="C87" s="27">
        <f t="shared" ref="C87:G88" si="8">C31*Timing</f>
        <v>25419.880516537472</v>
      </c>
      <c r="D87" s="27">
        <f t="shared" si="8"/>
        <v>26163.811405962351</v>
      </c>
      <c r="E87" s="27">
        <f t="shared" si="8"/>
        <v>27174.688289089067</v>
      </c>
      <c r="F87" s="27">
        <f t="shared" si="8"/>
        <v>28715.318462042676</v>
      </c>
      <c r="G87" s="27">
        <f t="shared" si="8"/>
        <v>35682.815832539396</v>
      </c>
      <c r="H87" s="26">
        <f>SUMPRODUCT(F87:G87,$F$47:$G$47)</f>
        <v>66916.467723703216</v>
      </c>
    </row>
    <row r="88" spans="1:8" x14ac:dyDescent="0.25">
      <c r="A88" s="41" t="s">
        <v>252</v>
      </c>
      <c r="B88" s="28"/>
      <c r="C88" s="27">
        <f t="shared" si="8"/>
        <v>24595.245024365526</v>
      </c>
      <c r="D88" s="27">
        <f t="shared" si="8"/>
        <v>26088.280175186253</v>
      </c>
      <c r="E88" s="27">
        <f t="shared" si="8"/>
        <v>27067.082152092979</v>
      </c>
      <c r="F88" s="27">
        <f t="shared" si="8"/>
        <v>27657.881231177271</v>
      </c>
      <c r="G88" s="27">
        <f t="shared" si="8"/>
        <v>35048.560428898985</v>
      </c>
      <c r="H88" s="26">
        <f>SUMPRODUCT(F88:G88,$F$47:$G$47)</f>
        <v>65132.037844050501</v>
      </c>
    </row>
    <row r="89" spans="1:8" x14ac:dyDescent="0.25">
      <c r="A89" s="41" t="s">
        <v>34</v>
      </c>
      <c r="B89" s="31"/>
      <c r="C89" s="38">
        <f>C88/C87</f>
        <v>0.96755942689677621</v>
      </c>
      <c r="D89" s="38">
        <f t="shared" ref="D89:G89" si="9">D88/D87</f>
        <v>0.99711314113971616</v>
      </c>
      <c r="E89" s="38">
        <f t="shared" si="9"/>
        <v>0.9960402071276272</v>
      </c>
      <c r="F89" s="38">
        <f t="shared" si="9"/>
        <v>0.96317515223579431</v>
      </c>
      <c r="G89" s="38">
        <f t="shared" si="9"/>
        <v>0.98222518630208466</v>
      </c>
    </row>
    <row r="90" spans="1:8" x14ac:dyDescent="0.25">
      <c r="A90" s="41" t="s">
        <v>33</v>
      </c>
      <c r="B90" s="31"/>
      <c r="C90" s="38">
        <f>$B$9/C89-$B$9</f>
        <v>3.3528248706407027E-2</v>
      </c>
      <c r="D90" s="38">
        <f>$B$9/D89-$B$9</f>
        <v>2.8952169429681263E-3</v>
      </c>
      <c r="E90" s="38">
        <f>$B$9/E89-$B$9</f>
        <v>3.9755351681955986E-3</v>
      </c>
      <c r="F90" s="38">
        <f>$B$9/F89-$B$9</f>
        <v>3.8232763458157182E-2</v>
      </c>
      <c r="G90" s="38">
        <f>$B$9/G89-$B$9</f>
        <v>1.8096475172699078E-2</v>
      </c>
    </row>
    <row r="91" spans="1:8" x14ac:dyDescent="0.25">
      <c r="A91" s="41" t="s">
        <v>28</v>
      </c>
      <c r="B91" s="27"/>
      <c r="C91" s="27">
        <f>C78</f>
        <v>24052.436276774533</v>
      </c>
      <c r="D91" s="27">
        <f>D78</f>
        <v>24754.877797392262</v>
      </c>
      <c r="E91" s="27">
        <f>E78</f>
        <v>27033.987663599408</v>
      </c>
      <c r="F91" s="27">
        <f>F78</f>
        <v>30429.016884729335</v>
      </c>
      <c r="G91" s="27">
        <f>G78</f>
        <v>37693.225195078427</v>
      </c>
    </row>
    <row r="92" spans="1:8" x14ac:dyDescent="0.25">
      <c r="A92" s="41" t="s">
        <v>32</v>
      </c>
      <c r="B92" s="28"/>
      <c r="C92" s="27">
        <f>C91/C89</f>
        <v>24858.872342257237</v>
      </c>
      <c r="D92" s="27">
        <f>D91/D89</f>
        <v>24826.548539012376</v>
      </c>
      <c r="E92" s="27">
        <f>E91/E89</f>
        <v>27141.462232292615</v>
      </c>
      <c r="F92" s="27">
        <f>F91/F89</f>
        <v>31592.402289547463</v>
      </c>
      <c r="G92" s="27">
        <f>G91/G89</f>
        <v>38375.339709000116</v>
      </c>
    </row>
    <row r="93" spans="1:8" ht="33.75" customHeight="1" x14ac:dyDescent="0.35">
      <c r="A93" s="130" t="s">
        <v>81</v>
      </c>
      <c r="B93" s="15"/>
    </row>
    <row r="94" spans="1:8" x14ac:dyDescent="0.25">
      <c r="A94" s="137"/>
      <c r="B94" s="15"/>
      <c r="C94" s="15">
        <v>2011</v>
      </c>
      <c r="D94" s="15">
        <v>2012</v>
      </c>
      <c r="E94" s="15">
        <v>2013</v>
      </c>
      <c r="F94" s="15">
        <v>2014</v>
      </c>
      <c r="G94" s="15">
        <v>2015</v>
      </c>
    </row>
    <row r="95" spans="1:8" ht="24.95" customHeight="1" x14ac:dyDescent="0.25">
      <c r="A95" s="90" t="s">
        <v>140</v>
      </c>
      <c r="B95" s="20"/>
      <c r="C95" s="25"/>
      <c r="D95" s="25"/>
      <c r="E95" s="25"/>
      <c r="F95" s="25"/>
      <c r="G95" s="25"/>
    </row>
    <row r="96" spans="1:8" x14ac:dyDescent="0.25">
      <c r="A96" s="41" t="s">
        <v>39</v>
      </c>
      <c r="B96" s="29"/>
      <c r="C96" s="29">
        <f>(1+C25)*(1-C$29)-1</f>
        <v>2.465039108793543E-2</v>
      </c>
      <c r="D96" s="29">
        <f>(1+D25)*(1-D$29)-1</f>
        <v>1.7811704834605591E-2</v>
      </c>
      <c r="E96" s="29">
        <f>(1+E25)*(1-E$29)-1</f>
        <v>4.5909090909090899E-2</v>
      </c>
      <c r="F96" s="29">
        <f>(1+F25)*(1-F$29)-1</f>
        <v>0.11410256410256414</v>
      </c>
      <c r="G96" s="29">
        <f>(1+G25)*(1-G$29)-1</f>
        <v>0.11062003861832226</v>
      </c>
    </row>
    <row r="97" spans="1:7" x14ac:dyDescent="0.25">
      <c r="A97" s="41" t="s">
        <v>132</v>
      </c>
      <c r="B97" s="31"/>
      <c r="C97" s="38">
        <f>1+C96</f>
        <v>1.0246503910879354</v>
      </c>
      <c r="D97" s="38">
        <f>1+D96</f>
        <v>1.0178117048346056</v>
      </c>
      <c r="E97" s="38">
        <f>1+E96</f>
        <v>1.0459090909090909</v>
      </c>
      <c r="F97" s="38">
        <f>1+F96</f>
        <v>1.1141025641025641</v>
      </c>
      <c r="G97" s="38">
        <f>1+G96</f>
        <v>1.1106200386183223</v>
      </c>
    </row>
    <row r="98" spans="1:7" x14ac:dyDescent="0.25">
      <c r="A98" s="41" t="s">
        <v>137</v>
      </c>
      <c r="B98" s="31"/>
      <c r="C98" s="31">
        <f>PRODUCT($C$97:C97)/$C$97</f>
        <v>1</v>
      </c>
      <c r="D98" s="31">
        <f>PRODUCT($C$97:D97)/$C$97</f>
        <v>1.0178117048346056</v>
      </c>
      <c r="E98" s="31">
        <f>PRODUCT($C$97:E97)/$C$97</f>
        <v>1.0645385149201942</v>
      </c>
      <c r="F98" s="31">
        <f>PRODUCT($C$97:F97)/$C$97</f>
        <v>1.1860050890585241</v>
      </c>
      <c r="G98" s="31">
        <f>PRODUCT($C$97:G97)/$C$97</f>
        <v>1.3172010178117046</v>
      </c>
    </row>
    <row r="99" spans="1:7" ht="24.95" customHeight="1" x14ac:dyDescent="0.25">
      <c r="A99" s="90" t="s">
        <v>139</v>
      </c>
      <c r="B99" s="20"/>
      <c r="C99" s="23"/>
      <c r="D99" s="23"/>
      <c r="E99" s="23"/>
      <c r="F99" s="23"/>
      <c r="G99" s="23"/>
    </row>
    <row r="100" spans="1:7" x14ac:dyDescent="0.25">
      <c r="A100" s="41" t="s">
        <v>38</v>
      </c>
      <c r="B100" s="29"/>
      <c r="C100" s="29">
        <f>(1+C24)*(1-C29)-1</f>
        <v>2.4650391087935652E-2</v>
      </c>
      <c r="D100" s="29">
        <f>(1+D24)*(1-D29)-1</f>
        <v>1.7811704834605369E-2</v>
      </c>
      <c r="E100" s="29">
        <f>(1+E24)*(1-E29)-1</f>
        <v>2.5401069518716568E-2</v>
      </c>
      <c r="F100" s="29">
        <f>(1+F24)*(1-F29)-1</f>
        <v>0.11410256410256414</v>
      </c>
      <c r="G100" s="29">
        <f>(1+G24)*(1-G29)-1</f>
        <v>0.12169760530583451</v>
      </c>
    </row>
    <row r="101" spans="1:7" x14ac:dyDescent="0.25">
      <c r="A101" s="41" t="s">
        <v>133</v>
      </c>
      <c r="B101" s="31"/>
      <c r="C101" s="38">
        <f>1+C100</f>
        <v>1.0246503910879357</v>
      </c>
      <c r="D101" s="38">
        <f>1+D100</f>
        <v>1.0178117048346054</v>
      </c>
      <c r="E101" s="38">
        <f>1+E100</f>
        <v>1.0254010695187166</v>
      </c>
      <c r="F101" s="38">
        <f>1+F100</f>
        <v>1.1141025641025641</v>
      </c>
      <c r="G101" s="38">
        <f>1+G100</f>
        <v>1.1216976053058345</v>
      </c>
    </row>
    <row r="102" spans="1:7" x14ac:dyDescent="0.25">
      <c r="A102" s="18"/>
      <c r="B102" s="22"/>
      <c r="C102" s="22"/>
      <c r="D102" s="22"/>
      <c r="E102" s="22"/>
      <c r="F102" s="22"/>
      <c r="G102" s="22"/>
    </row>
    <row r="103" spans="1:7" x14ac:dyDescent="0.25">
      <c r="A103" s="41" t="s">
        <v>37</v>
      </c>
      <c r="B103" s="20"/>
      <c r="C103" s="28" t="b">
        <f>OR(C$94=$G$94,AND(NOT(MAR),C$94=$F$94))</f>
        <v>0</v>
      </c>
      <c r="D103" s="28" t="b">
        <f>OR(D$94=$G$94,AND(NOT(MAR),D$94=$F$94))</f>
        <v>0</v>
      </c>
      <c r="E103" s="28" t="b">
        <f>OR(E$94=$G$94,AND(NOT(MAR),E$94=$F$94))</f>
        <v>0</v>
      </c>
      <c r="F103" s="28" t="b">
        <f>OR(F$94=$G$94,AND(NOT(MAR),F$94=$F$94))</f>
        <v>1</v>
      </c>
      <c r="G103" s="28" t="b">
        <f>OR(G$94=$G$94,AND(NOT(MAR),G$94=$F$94))</f>
        <v>1</v>
      </c>
    </row>
    <row r="104" spans="1:7" x14ac:dyDescent="0.25">
      <c r="A104" s="41" t="s">
        <v>36</v>
      </c>
      <c r="B104" s="20"/>
      <c r="C104" s="27" t="b">
        <f>NOT(C103)</f>
        <v>1</v>
      </c>
      <c r="D104" s="27" t="b">
        <f>NOT(D103)</f>
        <v>1</v>
      </c>
      <c r="E104" s="27" t="b">
        <f>NOT(E103)</f>
        <v>1</v>
      </c>
      <c r="F104" s="27" t="b">
        <f>NOT(F103)</f>
        <v>0</v>
      </c>
      <c r="G104" s="27" t="b">
        <f>NOT(G103)</f>
        <v>0</v>
      </c>
    </row>
    <row r="105" spans="1:7" x14ac:dyDescent="0.25">
      <c r="A105" s="18"/>
      <c r="B105" s="20"/>
      <c r="C105" s="21"/>
      <c r="D105" s="22"/>
      <c r="E105" s="22"/>
      <c r="F105" s="22"/>
      <c r="G105" s="22"/>
    </row>
    <row r="106" spans="1:7" x14ac:dyDescent="0.25">
      <c r="A106" s="41" t="s">
        <v>134</v>
      </c>
      <c r="B106" s="31"/>
      <c r="C106" s="38">
        <f>C103*C101</f>
        <v>0</v>
      </c>
      <c r="D106" s="38">
        <f>D103*D101</f>
        <v>0</v>
      </c>
      <c r="E106" s="38">
        <f>E103*E101</f>
        <v>0</v>
      </c>
      <c r="F106" s="38">
        <f>F103*F101</f>
        <v>1.1141025641025641</v>
      </c>
      <c r="G106" s="38">
        <f>G103*G101</f>
        <v>1.1216976053058345</v>
      </c>
    </row>
    <row r="107" spans="1:7" x14ac:dyDescent="0.25">
      <c r="A107" s="41" t="s">
        <v>135</v>
      </c>
      <c r="B107" s="31"/>
      <c r="C107" s="38">
        <f>IF(C104,C97,0)</f>
        <v>1.0246503910879354</v>
      </c>
      <c r="D107" s="38">
        <f>IF(D104,D97,0)</f>
        <v>1.0178117048346056</v>
      </c>
      <c r="E107" s="38">
        <f>IF(E104,E97,0)</f>
        <v>1.0459090909090909</v>
      </c>
      <c r="F107" s="38">
        <f>IF(F104,F97,0)</f>
        <v>0</v>
      </c>
      <c r="G107" s="38">
        <f>IF(G104,G97,0)</f>
        <v>0</v>
      </c>
    </row>
    <row r="108" spans="1:7" x14ac:dyDescent="0.25">
      <c r="A108" s="18"/>
      <c r="B108" s="20"/>
      <c r="C108" s="25"/>
      <c r="D108" s="25"/>
      <c r="E108" s="25"/>
      <c r="F108" s="25"/>
      <c r="G108" s="25"/>
    </row>
    <row r="109" spans="1:7" x14ac:dyDescent="0.25">
      <c r="A109" s="41" t="s">
        <v>136</v>
      </c>
      <c r="B109" s="31"/>
      <c r="C109" s="38">
        <f>C107+C106</f>
        <v>1.0246503910879354</v>
      </c>
      <c r="D109" s="38">
        <f>D107+D106</f>
        <v>1.0178117048346056</v>
      </c>
      <c r="E109" s="38">
        <f>E107+E106</f>
        <v>1.0459090909090909</v>
      </c>
      <c r="F109" s="38">
        <f>F107+F106</f>
        <v>1.1141025641025641</v>
      </c>
      <c r="G109" s="38">
        <f>G107+G106</f>
        <v>1.1216976053058345</v>
      </c>
    </row>
    <row r="110" spans="1:7" x14ac:dyDescent="0.25">
      <c r="A110" s="41" t="s">
        <v>138</v>
      </c>
      <c r="B110" s="31"/>
      <c r="C110" s="31">
        <f>PRODUCT($C$109:C109)/$C$109</f>
        <v>1</v>
      </c>
      <c r="D110" s="31">
        <f>PRODUCT($C$109:D109)/$C$109</f>
        <v>1.0178117048346056</v>
      </c>
      <c r="E110" s="31">
        <f>PRODUCT($C$109:E109)/$C$109</f>
        <v>1.0645385149201942</v>
      </c>
      <c r="F110" s="31">
        <f>PRODUCT($C$109:F109)/$C$109</f>
        <v>1.1860050890585241</v>
      </c>
      <c r="G110" s="31">
        <f>PRODUCT($C$109:G109)/$C$109</f>
        <v>1.3303390682774794</v>
      </c>
    </row>
    <row r="111" spans="1:7" ht="24.95" customHeight="1" x14ac:dyDescent="0.25">
      <c r="A111" s="90" t="s">
        <v>143</v>
      </c>
      <c r="B111" s="20"/>
      <c r="C111" s="25"/>
      <c r="D111" s="25"/>
      <c r="E111" s="25"/>
      <c r="F111" s="25"/>
      <c r="G111" s="25"/>
    </row>
    <row r="112" spans="1:7" x14ac:dyDescent="0.25">
      <c r="A112" s="41" t="s">
        <v>142</v>
      </c>
      <c r="B112" s="20"/>
      <c r="C112" s="27">
        <f>C92/C98</f>
        <v>24858.872342257237</v>
      </c>
      <c r="D112" s="27">
        <f>D92/D98</f>
        <v>24392.083939579661</v>
      </c>
      <c r="E112" s="27">
        <f>E92/E98</f>
        <v>25495.988967883743</v>
      </c>
      <c r="F112" s="27">
        <f>F92/F98</f>
        <v>26637.66166014193</v>
      </c>
      <c r="G112" s="27">
        <f>G92/G98</f>
        <v>29134.003990335448</v>
      </c>
    </row>
    <row r="113" spans="1:7" ht="24.95" customHeight="1" x14ac:dyDescent="0.25">
      <c r="A113" s="90" t="s">
        <v>141</v>
      </c>
      <c r="B113" s="20"/>
      <c r="C113" s="25"/>
      <c r="D113" s="25"/>
      <c r="E113" s="25"/>
      <c r="F113" s="25"/>
      <c r="G113" s="25"/>
    </row>
    <row r="114" spans="1:7" x14ac:dyDescent="0.25">
      <c r="A114" s="41" t="s">
        <v>35</v>
      </c>
      <c r="B114" s="28"/>
      <c r="C114" s="27">
        <f>C112*C110</f>
        <v>24858.872342257237</v>
      </c>
      <c r="D114" s="27">
        <f>D112*D110</f>
        <v>24826.548539012376</v>
      </c>
      <c r="E114" s="27">
        <f>E112*E110</f>
        <v>27141.462232292615</v>
      </c>
      <c r="F114" s="27">
        <f>F112*F110</f>
        <v>31592.402289547463</v>
      </c>
      <c r="G114" s="27">
        <f>G112*G110</f>
        <v>38758.103723695225</v>
      </c>
    </row>
    <row r="115" spans="1:7" ht="33.75" customHeight="1" x14ac:dyDescent="0.35">
      <c r="A115" s="130" t="s">
        <v>65</v>
      </c>
      <c r="B115" s="11"/>
    </row>
    <row r="116" spans="1:7" x14ac:dyDescent="0.25">
      <c r="A116" s="137"/>
      <c r="B116" s="15"/>
      <c r="C116" s="15">
        <v>2011</v>
      </c>
      <c r="D116" s="15">
        <v>2012</v>
      </c>
      <c r="E116" s="15">
        <v>2013</v>
      </c>
      <c r="F116" s="15">
        <v>2014</v>
      </c>
      <c r="G116" s="15">
        <v>2015</v>
      </c>
    </row>
    <row r="117" spans="1:7" x14ac:dyDescent="0.25">
      <c r="A117" s="41" t="s">
        <v>44</v>
      </c>
      <c r="B117" s="28"/>
      <c r="C117" s="27" t="b">
        <f>AND(MAR,C$116=$F$116)</f>
        <v>0</v>
      </c>
      <c r="D117" s="27" t="b">
        <f>AND(MAR,D$116=$F$116)</f>
        <v>0</v>
      </c>
      <c r="E117" s="27" t="b">
        <f>AND(MAR,E$116=$F$116)</f>
        <v>0</v>
      </c>
      <c r="F117" s="27" t="b">
        <f>AND(MAR,F$116=$F$116)</f>
        <v>0</v>
      </c>
      <c r="G117" s="27" t="b">
        <f>AND(MAR,G$116=$F$116)</f>
        <v>0</v>
      </c>
    </row>
    <row r="118" spans="1:7" x14ac:dyDescent="0.25">
      <c r="A118" s="41" t="s">
        <v>33</v>
      </c>
      <c r="B118" s="28"/>
      <c r="C118" s="27" t="b">
        <f>AND(MAR,C$116=$G$116)</f>
        <v>0</v>
      </c>
      <c r="D118" s="27" t="b">
        <f>AND(MAR,D$116=$G$116)</f>
        <v>0</v>
      </c>
      <c r="E118" s="27" t="b">
        <f>AND(MAR,E$116=$G$116)</f>
        <v>0</v>
      </c>
      <c r="F118" s="27" t="b">
        <f>AND(MAR,F$116=$G$116)</f>
        <v>0</v>
      </c>
      <c r="G118" s="27" t="b">
        <f>AND(MAR,G$116=$G$116)</f>
        <v>0</v>
      </c>
    </row>
    <row r="119" spans="1:7" x14ac:dyDescent="0.25">
      <c r="A119" s="41" t="s">
        <v>43</v>
      </c>
      <c r="B119" s="28"/>
      <c r="C119" s="27" t="b">
        <f>NOT(OR(C117,C118))</f>
        <v>1</v>
      </c>
      <c r="D119" s="27" t="b">
        <f>NOT(OR(D117,D118))</f>
        <v>1</v>
      </c>
      <c r="E119" s="27" t="b">
        <f>NOT(OR(E117,E118))</f>
        <v>1</v>
      </c>
      <c r="F119" s="27" t="b">
        <f>NOT(OR(F117,F118))</f>
        <v>1</v>
      </c>
      <c r="G119" s="27" t="b">
        <f>NOT(OR(G117,G118))</f>
        <v>1</v>
      </c>
    </row>
    <row r="120" spans="1:7" x14ac:dyDescent="0.25">
      <c r="A120" s="18"/>
      <c r="B120" s="20"/>
      <c r="C120" s="25"/>
      <c r="D120" s="25"/>
      <c r="E120" s="25"/>
      <c r="F120" s="25"/>
      <c r="G120" s="25"/>
    </row>
    <row r="121" spans="1:7" x14ac:dyDescent="0.25">
      <c r="A121" s="41" t="s">
        <v>42</v>
      </c>
      <c r="B121" s="28"/>
      <c r="C121" s="27">
        <f>IF(C$117,$B$53,0)</f>
        <v>0</v>
      </c>
      <c r="D121" s="27">
        <f>IF(D$117,$B$53,0)</f>
        <v>0</v>
      </c>
      <c r="E121" s="27">
        <f>IF(E$117,$B$53,0)</f>
        <v>0</v>
      </c>
      <c r="F121" s="27">
        <f>IF(F$117,$B$53,0)</f>
        <v>0</v>
      </c>
      <c r="G121" s="27">
        <f>IF(G$117,$B$53,0)</f>
        <v>0</v>
      </c>
    </row>
    <row r="122" spans="1:7" x14ac:dyDescent="0.25">
      <c r="A122" s="41" t="s">
        <v>41</v>
      </c>
      <c r="B122" s="28"/>
      <c r="C122" s="27">
        <f>IF(C$118,$B$53*$G$114/$F$114,0)</f>
        <v>0</v>
      </c>
      <c r="D122" s="27">
        <f>IF(D$118,$B$53*$G$114/$F$114,0)</f>
        <v>0</v>
      </c>
      <c r="E122" s="27">
        <f>IF(E$118,$B$53*$G$114/$F$114,0)</f>
        <v>0</v>
      </c>
      <c r="F122" s="27">
        <f>IF(F$118,$B$53*$G$114/$F$114,0)</f>
        <v>0</v>
      </c>
      <c r="G122" s="27">
        <f>IF(G$118,$B$53*$G$114/$F$114,0)</f>
        <v>0</v>
      </c>
    </row>
    <row r="123" spans="1:7" x14ac:dyDescent="0.25">
      <c r="A123" s="41" t="s">
        <v>40</v>
      </c>
      <c r="B123" s="28"/>
      <c r="C123" s="27">
        <f>IF(C$119,C$114,0)</f>
        <v>24858.872342257237</v>
      </c>
      <c r="D123" s="27">
        <f>IF(D$119,D$114,0)</f>
        <v>24826.548539012376</v>
      </c>
      <c r="E123" s="27">
        <f>IF(E$119,E$114,0)</f>
        <v>27141.462232292615</v>
      </c>
      <c r="F123" s="27">
        <f>IF(F$119,F$114,0)</f>
        <v>31592.402289547463</v>
      </c>
      <c r="G123" s="27">
        <f>IF(G$119,G$114,0)</f>
        <v>38758.103723695225</v>
      </c>
    </row>
    <row r="124" spans="1:7" x14ac:dyDescent="0.25">
      <c r="A124" s="18"/>
      <c r="B124" s="20"/>
      <c r="C124" s="24"/>
      <c r="D124" s="24"/>
      <c r="E124" s="24"/>
      <c r="F124" s="24"/>
      <c r="G124" s="24"/>
    </row>
    <row r="125" spans="1:7" x14ac:dyDescent="0.25">
      <c r="A125" s="41" t="s">
        <v>79</v>
      </c>
      <c r="B125" s="28"/>
      <c r="C125" s="27">
        <f>C121+C122+C123</f>
        <v>24858.872342257237</v>
      </c>
      <c r="D125" s="27">
        <f>D121+D122+D123</f>
        <v>24826.548539012376</v>
      </c>
      <c r="E125" s="27">
        <f>E121+E122+E123</f>
        <v>27141.462232292615</v>
      </c>
      <c r="F125" s="27">
        <f>F121+F122+F123</f>
        <v>31592.402289547463</v>
      </c>
      <c r="G125" s="27">
        <f>G121+G122+G123</f>
        <v>38758.103723695225</v>
      </c>
    </row>
    <row r="126" spans="1:7" ht="33.75" customHeight="1" x14ac:dyDescent="0.35">
      <c r="A126" s="130" t="s">
        <v>68</v>
      </c>
      <c r="B126" s="11"/>
    </row>
    <row r="127" spans="1:7" ht="33.75" customHeight="1" x14ac:dyDescent="0.25">
      <c r="A127" s="137"/>
      <c r="B127" s="143" t="s">
        <v>27</v>
      </c>
      <c r="C127" s="15"/>
      <c r="D127" s="15"/>
      <c r="E127" s="15"/>
      <c r="F127" s="15"/>
      <c r="G127" s="15"/>
    </row>
    <row r="128" spans="1:7" x14ac:dyDescent="0.25">
      <c r="A128" s="41" t="s">
        <v>46</v>
      </c>
      <c r="B128" s="28">
        <f>F114</f>
        <v>31592.402289547463</v>
      </c>
    </row>
    <row r="129" spans="1:7" x14ac:dyDescent="0.25">
      <c r="A129" s="41" t="s">
        <v>45</v>
      </c>
      <c r="B129" s="64">
        <f>(B128+F73)/(F87+F73)</f>
        <v>1.0683108288022187</v>
      </c>
    </row>
    <row r="130" spans="1:7" ht="33.75" customHeight="1" x14ac:dyDescent="0.35">
      <c r="A130" s="130" t="s">
        <v>67</v>
      </c>
      <c r="B130" s="11"/>
    </row>
    <row r="131" spans="1:7" x14ac:dyDescent="0.25">
      <c r="A131" s="137"/>
      <c r="B131" s="15" t="s">
        <v>27</v>
      </c>
      <c r="C131" s="15">
        <v>2011</v>
      </c>
      <c r="D131" s="15">
        <v>2012</v>
      </c>
      <c r="E131" s="15">
        <v>2013</v>
      </c>
      <c r="F131" s="15">
        <v>2014</v>
      </c>
      <c r="G131" s="15">
        <v>2015</v>
      </c>
    </row>
    <row r="132" spans="1:7" x14ac:dyDescent="0.25">
      <c r="A132" s="41" t="s">
        <v>138</v>
      </c>
      <c r="B132" s="31"/>
      <c r="C132" s="31">
        <f>C110</f>
        <v>1</v>
      </c>
      <c r="D132" s="31">
        <f>D110</f>
        <v>1.0178117048346056</v>
      </c>
      <c r="E132" s="31">
        <f>E110</f>
        <v>1.0645385149201942</v>
      </c>
      <c r="F132" s="31">
        <f>F110</f>
        <v>1.1860050890585241</v>
      </c>
      <c r="G132" s="31">
        <f>G110</f>
        <v>1.3303390682774794</v>
      </c>
    </row>
    <row r="133" spans="1:7" x14ac:dyDescent="0.25">
      <c r="A133" s="41" t="s">
        <v>51</v>
      </c>
      <c r="B133" s="28"/>
      <c r="C133" s="27">
        <f>C125/C132</f>
        <v>24858.872342257237</v>
      </c>
      <c r="D133" s="27">
        <f>D125/D132</f>
        <v>24392.083939579661</v>
      </c>
      <c r="E133" s="27">
        <f>E125/E132</f>
        <v>25495.988967883743</v>
      </c>
      <c r="F133" s="27">
        <f>F125/F132</f>
        <v>26637.66166014193</v>
      </c>
      <c r="G133" s="27">
        <f>G125/G132</f>
        <v>29134.003990335448</v>
      </c>
    </row>
    <row r="134" spans="1:7" x14ac:dyDescent="0.25">
      <c r="A134" s="18"/>
      <c r="B134" s="20"/>
      <c r="C134" s="144"/>
    </row>
    <row r="135" spans="1:7" x14ac:dyDescent="0.25">
      <c r="A135" s="41" t="s">
        <v>49</v>
      </c>
      <c r="B135" s="31">
        <f>F133/E133</f>
        <v>1.0447785215822107</v>
      </c>
      <c r="C135" s="65" t="s">
        <v>50</v>
      </c>
    </row>
    <row r="136" spans="1:7" x14ac:dyDescent="0.25">
      <c r="A136" s="41" t="s">
        <v>49</v>
      </c>
      <c r="B136" s="31">
        <f>B129/(E133/D133)</f>
        <v>1.0220559572146917</v>
      </c>
      <c r="C136" s="65" t="s">
        <v>48</v>
      </c>
    </row>
    <row r="137" spans="1:7" x14ac:dyDescent="0.25">
      <c r="A137" s="18"/>
      <c r="B137" s="20"/>
      <c r="C137" s="145"/>
    </row>
    <row r="138" spans="1:7" x14ac:dyDescent="0.25">
      <c r="A138" s="41" t="s">
        <v>47</v>
      </c>
      <c r="B138" s="31"/>
      <c r="C138" s="32"/>
      <c r="D138" s="29">
        <f>D133/C133-1</f>
        <v>-1.8777537301403968E-2</v>
      </c>
      <c r="E138" s="29">
        <f>E133/D133-1</f>
        <v>4.5256691926713E-2</v>
      </c>
      <c r="F138" s="29">
        <f>IF(MAR,B136,B135)-1</f>
        <v>4.477852158221074E-2</v>
      </c>
      <c r="G138" s="29">
        <f>G133/F133-1</f>
        <v>9.3714769788851626E-2</v>
      </c>
    </row>
    <row r="139" spans="1:7" ht="33.75" customHeight="1" x14ac:dyDescent="0.35">
      <c r="A139" s="130" t="s">
        <v>98</v>
      </c>
      <c r="B139" s="11"/>
    </row>
    <row r="140" spans="1:7" x14ac:dyDescent="0.25">
      <c r="A140" s="137"/>
      <c r="B140" s="15" t="s">
        <v>27</v>
      </c>
      <c r="C140" s="15"/>
      <c r="D140" s="15"/>
      <c r="E140" s="142">
        <v>2013</v>
      </c>
      <c r="F140" s="15">
        <v>2014</v>
      </c>
      <c r="G140" s="15">
        <v>2015</v>
      </c>
    </row>
    <row r="141" spans="1:7" x14ac:dyDescent="0.25">
      <c r="A141" s="72" t="s">
        <v>100</v>
      </c>
      <c r="B141" s="74" t="b">
        <f>IF($G$29=0,FALSE,TRUE)</f>
        <v>1</v>
      </c>
      <c r="C141" s="15"/>
      <c r="D141" s="15"/>
      <c r="E141" s="15"/>
      <c r="F141" s="15"/>
      <c r="G141" s="15"/>
    </row>
    <row r="142" spans="1:7" x14ac:dyDescent="0.25">
      <c r="A142" s="72" t="s">
        <v>99</v>
      </c>
      <c r="B142" s="74" t="b">
        <f>IF($G$29=-0.1,TRUE,FALSE)</f>
        <v>1</v>
      </c>
      <c r="C142" s="15"/>
      <c r="D142" s="15"/>
      <c r="E142" s="15"/>
      <c r="F142" s="15"/>
      <c r="G142" s="15"/>
    </row>
    <row r="143" spans="1:7" x14ac:dyDescent="0.25">
      <c r="A143" s="73" t="s">
        <v>102</v>
      </c>
      <c r="B143" s="31"/>
      <c r="C143" s="74"/>
      <c r="D143" s="74"/>
      <c r="E143" s="92">
        <f>E42*Timing</f>
        <v>27462.460109086642</v>
      </c>
      <c r="F143" s="92">
        <f>F42*Timing*IF(B142,(1+F27)/(1+F26),1)</f>
        <v>30763.673194260089</v>
      </c>
      <c r="G143" s="27">
        <f>F143*(1+G26)*(1-G29)*(1+G28)</f>
        <v>34779.65106434816</v>
      </c>
    </row>
    <row r="144" spans="1:7" x14ac:dyDescent="0.25">
      <c r="A144" s="72"/>
      <c r="B144" s="31"/>
      <c r="C144" s="74"/>
      <c r="D144" s="74"/>
      <c r="E144" s="75"/>
      <c r="F144" s="75"/>
      <c r="G144" s="75"/>
    </row>
    <row r="145" spans="1:8" x14ac:dyDescent="0.25">
      <c r="A145" s="72" t="s">
        <v>120</v>
      </c>
      <c r="B145" s="74"/>
      <c r="C145" s="74"/>
      <c r="D145" s="74"/>
      <c r="E145" s="27">
        <f>Timing*IF(CAP=TRUE,E42,E41)</f>
        <v>27462.460109086642</v>
      </c>
      <c r="F145" s="27">
        <f>Timing*IF(CAP=TRUE,F42,F41)</f>
        <v>31095.946514402378</v>
      </c>
      <c r="G145" s="27">
        <f>Timing*IF(CAP=TRUE,G42,G41)</f>
        <v>35155.300293865315</v>
      </c>
    </row>
    <row r="146" spans="1:8" x14ac:dyDescent="0.25">
      <c r="A146" s="72" t="s">
        <v>121</v>
      </c>
      <c r="B146" s="74"/>
      <c r="C146" s="74"/>
      <c r="D146" s="74"/>
      <c r="E146" s="27">
        <f>E143</f>
        <v>27462.460109086642</v>
      </c>
      <c r="F146" s="27">
        <f>F143</f>
        <v>30763.673194260089</v>
      </c>
      <c r="G146" s="27">
        <f>G143</f>
        <v>34779.65106434816</v>
      </c>
    </row>
    <row r="147" spans="1:8" ht="33.75" customHeight="1" x14ac:dyDescent="0.35">
      <c r="A147" s="130" t="s">
        <v>131</v>
      </c>
      <c r="B147" s="15"/>
    </row>
    <row r="148" spans="1:8" x14ac:dyDescent="0.25">
      <c r="A148" s="137"/>
      <c r="B148" s="15"/>
      <c r="C148" s="15"/>
      <c r="D148" s="15"/>
      <c r="E148" s="15">
        <v>2013</v>
      </c>
      <c r="F148" s="15">
        <v>2014</v>
      </c>
      <c r="G148" s="15">
        <v>2015</v>
      </c>
    </row>
    <row r="149" spans="1:8" x14ac:dyDescent="0.25">
      <c r="A149" s="72" t="s">
        <v>103</v>
      </c>
      <c r="B149" s="20"/>
      <c r="C149" s="27"/>
      <c r="D149" s="27"/>
      <c r="E149" s="27">
        <f t="shared" ref="E149:G150" si="10">E145</f>
        <v>27462.460109086642</v>
      </c>
      <c r="F149" s="27">
        <f t="shared" si="10"/>
        <v>31095.946514402378</v>
      </c>
      <c r="G149" s="27">
        <f t="shared" si="10"/>
        <v>35155.300293865315</v>
      </c>
    </row>
    <row r="150" spans="1:8" x14ac:dyDescent="0.25">
      <c r="A150" s="72" t="s">
        <v>104</v>
      </c>
      <c r="B150" s="31"/>
      <c r="C150" s="27"/>
      <c r="D150" s="27"/>
      <c r="E150" s="27">
        <f t="shared" si="10"/>
        <v>27462.460109086642</v>
      </c>
      <c r="F150" s="27">
        <f t="shared" si="10"/>
        <v>30763.673194260089</v>
      </c>
      <c r="G150" s="27">
        <f t="shared" si="10"/>
        <v>34779.65106434816</v>
      </c>
    </row>
    <row r="151" spans="1:8" x14ac:dyDescent="0.25">
      <c r="A151" s="72" t="s">
        <v>105</v>
      </c>
      <c r="B151" s="30"/>
      <c r="C151" s="27"/>
      <c r="D151" s="27"/>
      <c r="E151" s="27">
        <f>E150</f>
        <v>27462.460109086642</v>
      </c>
      <c r="F151" s="27">
        <f>F150</f>
        <v>30763.673194260089</v>
      </c>
      <c r="G151" s="27">
        <f>G150*(1+G25)/(1+G26)</f>
        <v>34353.996772919876</v>
      </c>
    </row>
    <row r="152" spans="1:8" x14ac:dyDescent="0.25">
      <c r="A152" s="72" t="s">
        <v>123</v>
      </c>
      <c r="B152" s="28"/>
      <c r="C152" s="27"/>
      <c r="D152" s="27"/>
      <c r="E152" s="27">
        <f>E150-E149</f>
        <v>0</v>
      </c>
      <c r="F152" s="27">
        <f>F150-F149</f>
        <v>-332.27332014228887</v>
      </c>
      <c r="G152" s="27">
        <f>G150-G149</f>
        <v>-375.64922951715562</v>
      </c>
    </row>
    <row r="153" spans="1:8" x14ac:dyDescent="0.25">
      <c r="A153" s="72" t="s">
        <v>293</v>
      </c>
      <c r="B153" s="28"/>
      <c r="C153" s="27"/>
      <c r="D153" s="27"/>
      <c r="E153" s="27">
        <v>0</v>
      </c>
      <c r="F153" s="27">
        <v>0</v>
      </c>
      <c r="G153" s="27">
        <f>G151-G150</f>
        <v>-425.65429142828361</v>
      </c>
    </row>
    <row r="154" spans="1:8" ht="33.75" customHeight="1" x14ac:dyDescent="0.35">
      <c r="A154" s="130" t="s">
        <v>178</v>
      </c>
      <c r="B154" s="11"/>
    </row>
    <row r="155" spans="1:8" ht="26.25" x14ac:dyDescent="0.25">
      <c r="A155" s="137"/>
      <c r="B155" s="15"/>
      <c r="C155" s="15"/>
      <c r="D155" s="15"/>
      <c r="E155" s="15">
        <v>2013</v>
      </c>
      <c r="F155" s="15">
        <v>2014</v>
      </c>
      <c r="G155" s="15">
        <v>2015</v>
      </c>
      <c r="H155" s="15" t="s">
        <v>124</v>
      </c>
    </row>
    <row r="156" spans="1:8" x14ac:dyDescent="0.25">
      <c r="A156" s="72" t="s">
        <v>179</v>
      </c>
      <c r="B156" s="31"/>
      <c r="C156" s="74"/>
      <c r="D156" s="74"/>
      <c r="E156" s="78">
        <f>B16*Timing</f>
        <v>27462.460109086642</v>
      </c>
      <c r="F156" s="78">
        <f>E156*(1+F26)*(1-F29)*(1+F28)</f>
        <v>31095.946514402382</v>
      </c>
      <c r="G156" s="78">
        <f>F156*(1+G26)*(1-G29)*(1+G28)</f>
        <v>35155.300293865308</v>
      </c>
      <c r="H156" s="74"/>
    </row>
    <row r="157" spans="1:8" x14ac:dyDescent="0.25">
      <c r="A157" s="72" t="s">
        <v>294</v>
      </c>
      <c r="B157" s="31"/>
      <c r="C157" s="74"/>
      <c r="D157" s="74"/>
      <c r="E157" s="78">
        <f>E92</f>
        <v>27141.462232292615</v>
      </c>
      <c r="F157" s="78">
        <f>E157*(1+F26)*(1-F29)*(1+F28)</f>
        <v>30732.478246505976</v>
      </c>
      <c r="G157" s="78">
        <f>F157*(1+G26)*(1-G29)*(1+G28)</f>
        <v>34744.383838909649</v>
      </c>
      <c r="H157" s="74"/>
    </row>
    <row r="158" spans="1:8" ht="16.5" customHeight="1" x14ac:dyDescent="0.25">
      <c r="B158" s="11"/>
    </row>
    <row r="159" spans="1:8" x14ac:dyDescent="0.25">
      <c r="A159" s="71" t="s">
        <v>108</v>
      </c>
      <c r="B159" s="31"/>
      <c r="C159" s="74"/>
      <c r="D159" s="74"/>
      <c r="E159" s="74">
        <f>E92-E69</f>
        <v>-10386.914869156521</v>
      </c>
      <c r="F159" s="74">
        <v>0</v>
      </c>
      <c r="G159" s="74">
        <v>0</v>
      </c>
      <c r="H159" s="74">
        <f t="shared" ref="H159:H172" si="11">SUMPRODUCT(E159:G159,$E$47:$G$47)</f>
        <v>-12288.668511670567</v>
      </c>
    </row>
    <row r="160" spans="1:8" x14ac:dyDescent="0.25">
      <c r="A160" s="71" t="s">
        <v>109</v>
      </c>
      <c r="B160" s="31"/>
      <c r="C160" s="74"/>
      <c r="D160" s="74"/>
      <c r="E160" s="74">
        <f>E92*(E89-1)</f>
        <v>-107.47456869320791</v>
      </c>
      <c r="F160" s="74">
        <f>F92*(F89-1)</f>
        <v>-1163.3854048181288</v>
      </c>
      <c r="G160" s="74">
        <f>G92*(G89-1)</f>
        <v>-682.11451392168965</v>
      </c>
      <c r="H160" s="74">
        <f t="shared" si="11"/>
        <v>-2074.6810448598089</v>
      </c>
    </row>
    <row r="161" spans="1:8" x14ac:dyDescent="0.25">
      <c r="A161" s="72" t="s">
        <v>156</v>
      </c>
      <c r="B161" s="31"/>
      <c r="C161" s="74"/>
      <c r="D161" s="74"/>
      <c r="E161" s="74">
        <v>0</v>
      </c>
      <c r="F161" s="74">
        <v>0</v>
      </c>
      <c r="G161" s="74">
        <f>B18*Timing+B19</f>
        <v>11689.018688182099</v>
      </c>
      <c r="H161" s="74">
        <f t="shared" si="11"/>
        <v>11689.018688182099</v>
      </c>
    </row>
    <row r="162" spans="1:8" x14ac:dyDescent="0.25">
      <c r="A162" s="71" t="s">
        <v>110</v>
      </c>
      <c r="B162" s="31"/>
      <c r="C162" s="74"/>
      <c r="D162" s="74"/>
      <c r="E162" s="74">
        <f t="shared" ref="E162:G163" si="12">E152</f>
        <v>0</v>
      </c>
      <c r="F162" s="74">
        <f t="shared" si="12"/>
        <v>-332.27332014228887</v>
      </c>
      <c r="G162" s="74">
        <f t="shared" si="12"/>
        <v>-375.64922951715562</v>
      </c>
      <c r="H162" s="74">
        <f t="shared" si="11"/>
        <v>-737.06291983592314</v>
      </c>
    </row>
    <row r="163" spans="1:8" x14ac:dyDescent="0.25">
      <c r="A163" s="71" t="s">
        <v>111</v>
      </c>
      <c r="B163" s="31"/>
      <c r="C163" s="74"/>
      <c r="D163" s="74"/>
      <c r="E163" s="74">
        <f t="shared" si="12"/>
        <v>0</v>
      </c>
      <c r="F163" s="74">
        <f t="shared" si="12"/>
        <v>0</v>
      </c>
      <c r="G163" s="74">
        <f t="shared" si="12"/>
        <v>-425.65429142828361</v>
      </c>
      <c r="H163" s="74">
        <f t="shared" si="11"/>
        <v>-425.65429142828361</v>
      </c>
    </row>
    <row r="164" spans="1:8" x14ac:dyDescent="0.25">
      <c r="A164" s="71" t="s">
        <v>112</v>
      </c>
      <c r="B164" s="31"/>
      <c r="C164" s="74"/>
      <c r="D164" s="74"/>
      <c r="E164" s="74">
        <v>0</v>
      </c>
      <c r="F164" s="74">
        <f>(F156-F69)*(CAP=TRUE)</f>
        <v>-5744.8020697136562</v>
      </c>
      <c r="G164" s="74">
        <f>(G156-G69)*(CAP=TRUE)</f>
        <v>-6494.7449596384758</v>
      </c>
      <c r="H164" s="74">
        <f t="shared" si="11"/>
        <v>-12743.366170866018</v>
      </c>
    </row>
    <row r="165" spans="1:8" x14ac:dyDescent="0.25">
      <c r="A165" s="72" t="s">
        <v>195</v>
      </c>
      <c r="B165" s="31"/>
      <c r="C165" s="74"/>
      <c r="D165" s="74"/>
      <c r="E165" s="74">
        <v>0</v>
      </c>
      <c r="F165" s="74">
        <v>0</v>
      </c>
      <c r="G165" s="74">
        <f>B20</f>
        <v>12503.474397993199</v>
      </c>
      <c r="H165" s="74">
        <f t="shared" si="11"/>
        <v>12503.474397993199</v>
      </c>
    </row>
    <row r="166" spans="1:8" x14ac:dyDescent="0.25">
      <c r="A166" s="72" t="s">
        <v>196</v>
      </c>
      <c r="B166" s="31"/>
      <c r="C166" s="74"/>
      <c r="D166" s="74"/>
      <c r="E166" s="74">
        <v>0</v>
      </c>
      <c r="F166" s="74">
        <f>(F92-B53)*(MAR=TRUE)</f>
        <v>0</v>
      </c>
      <c r="G166" s="74">
        <f>(G92-B53*(G92/F92))*(MAR=TRUE)</f>
        <v>0</v>
      </c>
      <c r="H166" s="74">
        <f t="shared" si="11"/>
        <v>0</v>
      </c>
    </row>
    <row r="167" spans="1:8" x14ac:dyDescent="0.25">
      <c r="A167" s="71" t="s">
        <v>113</v>
      </c>
      <c r="B167" s="31"/>
      <c r="C167" s="74"/>
      <c r="D167" s="74"/>
      <c r="E167" s="74">
        <v>0</v>
      </c>
      <c r="F167" s="74">
        <f>(F157-F156)*(CAP=TRUE)</f>
        <v>-363.46826789640545</v>
      </c>
      <c r="G167" s="74">
        <f>(G157-G156)*(CAP=TRUE)</f>
        <v>-410.91645495565899</v>
      </c>
      <c r="H167" s="74">
        <f t="shared" si="11"/>
        <v>-806.26088994657914</v>
      </c>
    </row>
    <row r="168" spans="1:8" x14ac:dyDescent="0.25">
      <c r="A168" s="71" t="s">
        <v>114</v>
      </c>
      <c r="B168" s="31"/>
      <c r="C168" s="74"/>
      <c r="D168" s="74"/>
      <c r="E168" s="74">
        <v>0</v>
      </c>
      <c r="F168" s="74">
        <f>E157*(F138-F28)*(1+F25)*(1-F29)*(CAP=TRUE)</f>
        <v>1188.3135512507843</v>
      </c>
      <c r="G168" s="74">
        <f>F168*(1+G25)*(1+G28)*(1-G29)</f>
        <v>1326.9975807863948</v>
      </c>
      <c r="H168" s="74">
        <f t="shared" si="11"/>
        <v>2619.5262304818725</v>
      </c>
    </row>
    <row r="169" spans="1:8" x14ac:dyDescent="0.25">
      <c r="A169" s="71" t="s">
        <v>115</v>
      </c>
      <c r="B169" s="31"/>
      <c r="C169" s="74"/>
      <c r="D169" s="74"/>
      <c r="E169" s="74">
        <v>0</v>
      </c>
      <c r="F169" s="74">
        <v>0</v>
      </c>
      <c r="G169" s="74">
        <f>(G138-G28)*(1+G25)*(1-G29)*IF(MAR=TRUE,B53,E157*(1+F138)*(1+F25)*(1-F29))</f>
        <v>3095.895689083773</v>
      </c>
      <c r="H169" s="74">
        <f t="shared" si="11"/>
        <v>3095.895689083773</v>
      </c>
    </row>
    <row r="170" spans="1:8" x14ac:dyDescent="0.25">
      <c r="A170" s="71" t="s">
        <v>211</v>
      </c>
      <c r="B170" s="31"/>
      <c r="C170" s="74"/>
      <c r="D170" s="74"/>
      <c r="E170" s="74">
        <f>E74</f>
        <v>0</v>
      </c>
      <c r="F170" s="74">
        <f>F74</f>
        <v>0</v>
      </c>
      <c r="G170" s="74">
        <f>G74</f>
        <v>0</v>
      </c>
      <c r="H170" s="74">
        <f t="shared" si="11"/>
        <v>0</v>
      </c>
    </row>
    <row r="171" spans="1:8" x14ac:dyDescent="0.25">
      <c r="A171" s="72" t="s">
        <v>280</v>
      </c>
      <c r="B171" s="151"/>
      <c r="C171" s="151"/>
      <c r="D171" s="151"/>
      <c r="E171" s="151">
        <f t="shared" ref="E171:G172" si="13">E83-E82</f>
        <v>22.660892767176847</v>
      </c>
      <c r="F171" s="151">
        <f t="shared" si="13"/>
        <v>20.559416938966024</v>
      </c>
      <c r="G171" s="151">
        <f t="shared" si="13"/>
        <v>-2.811008662036329</v>
      </c>
      <c r="H171" s="74">
        <f t="shared" ref="H171" si="14">SUMPRODUCT(E171:G171,$E$47:$G$47)</f>
        <v>46.361373998947933</v>
      </c>
    </row>
    <row r="172" spans="1:8" x14ac:dyDescent="0.25">
      <c r="A172" s="72" t="s">
        <v>281</v>
      </c>
      <c r="B172" s="151"/>
      <c r="C172" s="151"/>
      <c r="D172" s="151"/>
      <c r="E172" s="151">
        <f t="shared" si="13"/>
        <v>-557.48796459160803</v>
      </c>
      <c r="F172" s="151">
        <f t="shared" si="13"/>
        <v>-174.31743075330451</v>
      </c>
      <c r="G172" s="151">
        <f t="shared" si="13"/>
        <v>-233.15277379783947</v>
      </c>
      <c r="H172" s="74">
        <f t="shared" si="11"/>
        <v>-1082.3169984163685</v>
      </c>
    </row>
    <row r="173" spans="1:8" ht="11.25" customHeight="1" x14ac:dyDescent="0.25">
      <c r="A173" s="71"/>
      <c r="B173" s="31"/>
      <c r="C173" s="74"/>
      <c r="D173" s="74"/>
      <c r="E173" s="74"/>
      <c r="F173" s="74"/>
      <c r="G173" s="74"/>
      <c r="H173" s="74"/>
    </row>
    <row r="174" spans="1:8" x14ac:dyDescent="0.25">
      <c r="A174" s="71" t="s">
        <v>116</v>
      </c>
      <c r="B174" s="31"/>
      <c r="C174" s="74"/>
      <c r="D174" s="74"/>
      <c r="E174" s="74">
        <f>SUM(E159:E172)-E161-E165</f>
        <v>-11029.216509674159</v>
      </c>
      <c r="F174" s="74">
        <f>SUM(F159:F172)-F161-F165</f>
        <v>-6569.373525134034</v>
      </c>
      <c r="G174" s="74">
        <f>SUM(G159:G172)-G161-G165</f>
        <v>-4202.1499620509712</v>
      </c>
      <c r="H174" s="74">
        <f>SUMPRODUCT(E174:G174,$E$47:$G$47)</f>
        <v>-24396.227533458954</v>
      </c>
    </row>
    <row r="175" spans="1:8" x14ac:dyDescent="0.25">
      <c r="A175" s="71" t="s">
        <v>117</v>
      </c>
      <c r="B175" s="31"/>
      <c r="C175" s="74"/>
      <c r="D175" s="74"/>
      <c r="E175" s="74">
        <f>E77-E82</f>
        <v>-11029.216509674159</v>
      </c>
      <c r="F175" s="74">
        <f>F77-F82</f>
        <v>-6565.4897132010374</v>
      </c>
      <c r="G175" s="74">
        <f>G77-G82</f>
        <v>-4192.7838408852331</v>
      </c>
      <c r="H175" s="74">
        <f>SUMPRODUCT(E175:G175,$E$47:$G$47)</f>
        <v>-24382.636990053696</v>
      </c>
    </row>
    <row r="176" spans="1:8" x14ac:dyDescent="0.25">
      <c r="A176" s="71" t="s">
        <v>118</v>
      </c>
      <c r="B176" s="31"/>
      <c r="C176" s="74"/>
      <c r="D176" s="74"/>
      <c r="E176" s="32">
        <f>E174/E175</f>
        <v>1</v>
      </c>
      <c r="F176" s="32">
        <f>F174/F175</f>
        <v>1.0005915494658666</v>
      </c>
      <c r="G176" s="32">
        <f>G174/G175</f>
        <v>1.0022338669297486</v>
      </c>
      <c r="H176" s="32">
        <f>H174/H175</f>
        <v>1.0005573861190979</v>
      </c>
    </row>
    <row r="177" spans="1:8" x14ac:dyDescent="0.25">
      <c r="A177" s="71" t="s">
        <v>119</v>
      </c>
      <c r="B177" s="31"/>
      <c r="C177" s="74"/>
      <c r="D177" s="74"/>
      <c r="E177" s="32">
        <f>1-E176</f>
        <v>0</v>
      </c>
      <c r="F177" s="32">
        <f>1-F176</f>
        <v>-5.9154946586659207E-4</v>
      </c>
      <c r="G177" s="32">
        <f>1-G176</f>
        <v>-2.2338669297485847E-3</v>
      </c>
      <c r="H177" s="32">
        <f>1-H176</f>
        <v>-5.5738611909794678E-4</v>
      </c>
    </row>
    <row r="178" spans="1:8" ht="11.25" customHeight="1" x14ac:dyDescent="0.25">
      <c r="A178" s="71"/>
      <c r="B178" s="31"/>
      <c r="C178" s="74"/>
      <c r="D178" s="74"/>
      <c r="E178" s="74"/>
      <c r="F178" s="74"/>
      <c r="G178" s="32"/>
      <c r="H178" s="74"/>
    </row>
    <row r="179" spans="1:8" x14ac:dyDescent="0.25">
      <c r="A179" s="72" t="s">
        <v>193</v>
      </c>
      <c r="B179" s="31"/>
      <c r="C179" s="74"/>
      <c r="D179" s="74"/>
      <c r="E179" s="74">
        <f>E69+E59+E60</f>
        <v>37535.291683008123</v>
      </c>
      <c r="F179" s="74">
        <f>F69+F59+F60</f>
        <v>36847.785702563415</v>
      </c>
      <c r="G179" s="74">
        <f>G69+G59+G60</f>
        <v>41657.245754469004</v>
      </c>
      <c r="H179" s="74">
        <f t="shared" ref="H179:H191" si="15">SUMPRODUCT(E179:G179,$E$47:$G$47)</f>
        <v>126144.25892092357</v>
      </c>
    </row>
    <row r="180" spans="1:8" x14ac:dyDescent="0.25">
      <c r="A180" s="72" t="s">
        <v>189</v>
      </c>
      <c r="B180" s="31"/>
      <c r="C180" s="74"/>
      <c r="D180" s="74"/>
      <c r="E180" s="74">
        <f>E179+E166+E167</f>
        <v>37535.291683008123</v>
      </c>
      <c r="F180" s="74">
        <f t="shared" ref="F180:G180" si="16">F179+F166+F167</f>
        <v>36484.317434667013</v>
      </c>
      <c r="G180" s="74">
        <f t="shared" si="16"/>
        <v>41246.329299513345</v>
      </c>
      <c r="H180" s="74">
        <f t="shared" si="15"/>
        <v>125337.99803097697</v>
      </c>
    </row>
    <row r="181" spans="1:8" x14ac:dyDescent="0.25">
      <c r="A181" s="72" t="s">
        <v>190</v>
      </c>
      <c r="B181" s="31"/>
      <c r="C181" s="74"/>
      <c r="D181" s="74"/>
      <c r="E181" s="74">
        <f>E180+E168+E169</f>
        <v>37535.291683008123</v>
      </c>
      <c r="F181" s="74">
        <f>F180+F168+F169</f>
        <v>37672.6309859178</v>
      </c>
      <c r="G181" s="74">
        <f>G180+G168+G169</f>
        <v>45669.222569383513</v>
      </c>
      <c r="H181" s="74">
        <f t="shared" si="15"/>
        <v>131053.41995054265</v>
      </c>
    </row>
    <row r="182" spans="1:8" x14ac:dyDescent="0.25">
      <c r="A182" s="72" t="s">
        <v>184</v>
      </c>
      <c r="B182" s="31"/>
      <c r="C182" s="74"/>
      <c r="D182" s="74"/>
      <c r="E182" s="74">
        <f>E181+E162+E163</f>
        <v>37535.291683008123</v>
      </c>
      <c r="F182" s="74">
        <f>F181+F162+F163</f>
        <v>37340.357665775511</v>
      </c>
      <c r="G182" s="74">
        <f>G181+G162+G163</f>
        <v>44867.919048438074</v>
      </c>
      <c r="H182" s="74">
        <f t="shared" si="15"/>
        <v>129890.70273927844</v>
      </c>
    </row>
    <row r="183" spans="1:8" x14ac:dyDescent="0.25">
      <c r="A183" s="72" t="s">
        <v>185</v>
      </c>
      <c r="B183" s="31"/>
      <c r="C183" s="74"/>
      <c r="D183" s="74"/>
      <c r="E183" s="74">
        <f>E182</f>
        <v>37535.291683008123</v>
      </c>
      <c r="F183" s="74">
        <f>F182+F160</f>
        <v>36176.97226095738</v>
      </c>
      <c r="G183" s="74">
        <f>G182+G160</f>
        <v>44185.804534516385</v>
      </c>
      <c r="H183" s="74">
        <f t="shared" si="15"/>
        <v>127943.17392053606</v>
      </c>
    </row>
    <row r="184" spans="1:8" x14ac:dyDescent="0.25">
      <c r="A184" s="72" t="s">
        <v>183</v>
      </c>
      <c r="B184" s="31"/>
      <c r="C184" s="74"/>
      <c r="D184" s="74"/>
      <c r="E184" s="74">
        <f>E183+E159+E160</f>
        <v>27040.902245158395</v>
      </c>
      <c r="F184" s="74">
        <f>F183+F159</f>
        <v>36176.97226095738</v>
      </c>
      <c r="G184" s="74">
        <f>G183+G159</f>
        <v>44185.804534516385</v>
      </c>
      <c r="H184" s="74">
        <f t="shared" si="15"/>
        <v>115527.35318274806</v>
      </c>
    </row>
    <row r="185" spans="1:8" x14ac:dyDescent="0.25">
      <c r="A185" s="72" t="s">
        <v>186</v>
      </c>
      <c r="B185" s="31"/>
      <c r="C185" s="74"/>
      <c r="D185" s="74"/>
      <c r="E185" s="74">
        <f>E184+E161</f>
        <v>27040.902245158395</v>
      </c>
      <c r="F185" s="74">
        <f t="shared" ref="F185:G185" si="17">F184+F161</f>
        <v>36176.97226095738</v>
      </c>
      <c r="G185" s="74">
        <f t="shared" si="17"/>
        <v>55874.823222698484</v>
      </c>
      <c r="H185" s="74">
        <f t="shared" si="15"/>
        <v>127216.37187093016</v>
      </c>
    </row>
    <row r="186" spans="1:8" x14ac:dyDescent="0.25">
      <c r="A186" s="72" t="s">
        <v>187</v>
      </c>
      <c r="B186" s="31"/>
      <c r="C186" s="74"/>
      <c r="D186" s="74"/>
      <c r="E186" s="74">
        <f t="shared" ref="E186:G187" si="18">E185+E164</f>
        <v>27040.902245158395</v>
      </c>
      <c r="F186" s="74">
        <f t="shared" si="18"/>
        <v>30432.170191243724</v>
      </c>
      <c r="G186" s="74">
        <f t="shared" si="18"/>
        <v>49380.078263060008</v>
      </c>
      <c r="H186" s="74">
        <f t="shared" si="15"/>
        <v>114473.00570006412</v>
      </c>
    </row>
    <row r="187" spans="1:8" x14ac:dyDescent="0.25">
      <c r="A187" s="72" t="s">
        <v>188</v>
      </c>
      <c r="B187" s="31"/>
      <c r="C187" s="74"/>
      <c r="D187" s="74"/>
      <c r="E187" s="74">
        <f t="shared" si="18"/>
        <v>27040.902245158395</v>
      </c>
      <c r="F187" s="74">
        <f t="shared" si="18"/>
        <v>30432.170191243724</v>
      </c>
      <c r="G187" s="74">
        <f t="shared" si="18"/>
        <v>61883.552661053211</v>
      </c>
      <c r="H187" s="74">
        <f t="shared" si="15"/>
        <v>126976.48009805733</v>
      </c>
    </row>
    <row r="188" spans="1:8" x14ac:dyDescent="0.25">
      <c r="A188" s="72" t="s">
        <v>212</v>
      </c>
      <c r="B188" s="31"/>
      <c r="C188" s="74"/>
      <c r="D188" s="74"/>
      <c r="E188" s="74">
        <f>E187+E170</f>
        <v>27040.902245158395</v>
      </c>
      <c r="F188" s="74">
        <f>F187+F170</f>
        <v>30432.170191243724</v>
      </c>
      <c r="G188" s="74">
        <f>G187+G170</f>
        <v>61883.552661053211</v>
      </c>
      <c r="H188" s="74">
        <f t="shared" si="15"/>
        <v>126976.48009805733</v>
      </c>
    </row>
    <row r="189" spans="1:8" x14ac:dyDescent="0.25">
      <c r="A189" s="72" t="s">
        <v>191</v>
      </c>
      <c r="B189" s="31"/>
      <c r="C189" s="74"/>
      <c r="D189" s="74"/>
      <c r="E189" s="74">
        <f>E188+E171</f>
        <v>27063.563137925572</v>
      </c>
      <c r="F189" s="74">
        <f t="shared" ref="F189:G189" si="19">F188+F171</f>
        <v>30452.72960818269</v>
      </c>
      <c r="G189" s="74">
        <f t="shared" si="19"/>
        <v>61880.741652391174</v>
      </c>
      <c r="H189" s="74">
        <f t="shared" si="15"/>
        <v>127022.84147205629</v>
      </c>
    </row>
    <row r="190" spans="1:8" x14ac:dyDescent="0.25">
      <c r="A190" s="72" t="s">
        <v>278</v>
      </c>
      <c r="B190" s="31"/>
      <c r="C190" s="74"/>
      <c r="D190" s="74"/>
      <c r="E190" s="74">
        <f>E189+E172</f>
        <v>26506.075173333964</v>
      </c>
      <c r="F190" s="74">
        <f t="shared" ref="F190:G190" si="20">F189+F172</f>
        <v>30278.412177429385</v>
      </c>
      <c r="G190" s="74">
        <f t="shared" si="20"/>
        <v>61647.588878593335</v>
      </c>
      <c r="H190" s="74">
        <f t="shared" si="15"/>
        <v>125940.52447363992</v>
      </c>
    </row>
    <row r="191" spans="1:8" x14ac:dyDescent="0.25">
      <c r="A191" s="72" t="s">
        <v>192</v>
      </c>
      <c r="B191" s="31"/>
      <c r="C191" s="74"/>
      <c r="D191" s="74"/>
      <c r="E191" s="74">
        <f>E77+E161+E165</f>
        <v>26506.075173333964</v>
      </c>
      <c r="F191" s="74">
        <f>F77+F161+F165</f>
        <v>30282.295989362377</v>
      </c>
      <c r="G191" s="74">
        <f>G77+G161+G165</f>
        <v>61656.954999759066</v>
      </c>
      <c r="H191" s="74">
        <f t="shared" si="15"/>
        <v>125954.11501704516</v>
      </c>
    </row>
    <row r="192" spans="1:8" ht="34.5" customHeight="1" x14ac:dyDescent="0.35">
      <c r="A192" s="130" t="s">
        <v>66</v>
      </c>
      <c r="B192" s="31"/>
      <c r="C192" s="74"/>
      <c r="D192" s="74"/>
      <c r="E192" s="74"/>
      <c r="F192" s="74"/>
      <c r="G192" s="74"/>
      <c r="H192" s="74"/>
    </row>
    <row r="193" spans="1:8" ht="27" customHeight="1" x14ac:dyDescent="0.25">
      <c r="A193" s="44"/>
      <c r="B193" s="15"/>
      <c r="C193" s="15">
        <v>2011</v>
      </c>
      <c r="D193" s="15">
        <v>2012</v>
      </c>
      <c r="E193" s="15">
        <v>2013</v>
      </c>
      <c r="F193" s="15">
        <v>2014</v>
      </c>
      <c r="G193" s="15">
        <v>2015</v>
      </c>
      <c r="H193" s="15" t="s">
        <v>124</v>
      </c>
    </row>
    <row r="194" spans="1:8" x14ac:dyDescent="0.25">
      <c r="A194" s="72" t="s">
        <v>58</v>
      </c>
      <c r="B194" s="18"/>
      <c r="C194" s="18" t="b">
        <f>(C193&lt;$F$193)</f>
        <v>1</v>
      </c>
      <c r="D194" s="18" t="b">
        <f>(D193&lt;$F$193)</f>
        <v>1</v>
      </c>
      <c r="E194" s="18" t="b">
        <f>(E193&lt;$F$193)</f>
        <v>1</v>
      </c>
      <c r="F194" s="18" t="b">
        <f>(F193&lt;$F$193)</f>
        <v>0</v>
      </c>
      <c r="G194" s="18" t="b">
        <f>(G193&lt;$F$193)</f>
        <v>0</v>
      </c>
    </row>
    <row r="195" spans="1:8" x14ac:dyDescent="0.25">
      <c r="A195" s="72" t="s">
        <v>57</v>
      </c>
      <c r="B195" s="18"/>
      <c r="C195" s="18" t="b">
        <f>NOT(C194)</f>
        <v>0</v>
      </c>
      <c r="D195" s="18" t="b">
        <f>NOT(D194)</f>
        <v>0</v>
      </c>
      <c r="E195" s="18" t="b">
        <f>NOT(E194)</f>
        <v>0</v>
      </c>
      <c r="F195" s="18" t="b">
        <f>NOT(F194)</f>
        <v>1</v>
      </c>
      <c r="G195" s="18" t="b">
        <f>NOT(G194)</f>
        <v>1</v>
      </c>
    </row>
    <row r="196" spans="1:8" x14ac:dyDescent="0.25">
      <c r="A196" s="72" t="s">
        <v>56</v>
      </c>
      <c r="B196" s="18"/>
      <c r="C196" s="39">
        <f>1+C25</f>
        <v>1.0246503910879354</v>
      </c>
      <c r="D196" s="39">
        <f>1+D25</f>
        <v>1.0178117048346056</v>
      </c>
      <c r="E196" s="39">
        <f>1+E25</f>
        <v>1.0459090909090909</v>
      </c>
      <c r="F196" s="39">
        <f>1+F25</f>
        <v>1.0128205128205128</v>
      </c>
      <c r="G196" s="39">
        <f>1+G25</f>
        <v>1.0096545805621111</v>
      </c>
    </row>
    <row r="197" spans="1:8" x14ac:dyDescent="0.25">
      <c r="A197" s="72" t="s">
        <v>144</v>
      </c>
      <c r="B197" s="18"/>
      <c r="C197" s="39">
        <f>1+C138</f>
        <v>1</v>
      </c>
      <c r="D197" s="39">
        <f>1+D138</f>
        <v>0.98122246269859603</v>
      </c>
      <c r="E197" s="39">
        <f>1+E138</f>
        <v>1.045256691926713</v>
      </c>
      <c r="F197" s="39">
        <f>1+F138</f>
        <v>1.0447785215822107</v>
      </c>
      <c r="G197" s="39">
        <f>1+G138</f>
        <v>1.0937147697888516</v>
      </c>
    </row>
    <row r="198" spans="1:8" x14ac:dyDescent="0.25">
      <c r="A198" s="72" t="s">
        <v>55</v>
      </c>
      <c r="B198" s="18"/>
      <c r="C198" s="40">
        <f>IF(C195,PRODUCT(C196:$F$197),0)</f>
        <v>0</v>
      </c>
      <c r="D198" s="40">
        <f>IF(D195,PRODUCT(D196:$F$197),0)</f>
        <v>0</v>
      </c>
      <c r="E198" s="40">
        <f>IF(E195,PRODUCT(E196:$F$197),0)</f>
        <v>0</v>
      </c>
      <c r="F198" s="40">
        <f>IF(F195,PRODUCT($F$196:F197),0)</f>
        <v>1.0581731180127518</v>
      </c>
      <c r="G198" s="40">
        <f>IF(G195,PRODUCT($F$196:G197),0)</f>
        <v>1.1685131962626272</v>
      </c>
    </row>
    <row r="199" spans="1:8" x14ac:dyDescent="0.25">
      <c r="A199" s="72"/>
      <c r="B199" s="18"/>
      <c r="C199" s="18"/>
      <c r="D199" s="18"/>
      <c r="E199" s="18"/>
      <c r="F199" s="18"/>
      <c r="G199" s="18"/>
    </row>
    <row r="200" spans="1:8" x14ac:dyDescent="0.25">
      <c r="A200" s="72" t="s">
        <v>54</v>
      </c>
      <c r="B200" s="27"/>
      <c r="C200" s="27">
        <f>C92*(C194= TRUE)</f>
        <v>24858.872342257237</v>
      </c>
      <c r="D200" s="27">
        <f>D92*(D194= TRUE)</f>
        <v>24826.548539012376</v>
      </c>
      <c r="E200" s="27">
        <f>E92*(E194= TRUE)</f>
        <v>27141.462232292615</v>
      </c>
      <c r="F200" s="27">
        <f>F92*(F194= TRUE)</f>
        <v>0</v>
      </c>
      <c r="G200" s="27">
        <f>G92*(G194= TRUE)</f>
        <v>0</v>
      </c>
    </row>
    <row r="201" spans="1:8" x14ac:dyDescent="0.25">
      <c r="A201" s="72" t="s">
        <v>53</v>
      </c>
      <c r="B201" s="27"/>
      <c r="C201" s="27">
        <f>$E$200*C198</f>
        <v>0</v>
      </c>
      <c r="D201" s="27">
        <f>$E$200*D198</f>
        <v>0</v>
      </c>
      <c r="E201" s="27">
        <f>$E$200*E198</f>
        <v>0</v>
      </c>
      <c r="F201" s="27">
        <f>$E$200*F198</f>
        <v>28720.365717770419</v>
      </c>
      <c r="G201" s="27">
        <f>$E$200*G198</f>
        <v>31715.156784297626</v>
      </c>
    </row>
    <row r="202" spans="1:8" x14ac:dyDescent="0.25">
      <c r="A202" s="72"/>
      <c r="B202" s="18"/>
      <c r="C202" s="18"/>
      <c r="D202" s="18"/>
      <c r="E202" s="18"/>
      <c r="F202" s="18"/>
      <c r="G202" s="18"/>
    </row>
    <row r="203" spans="1:8" x14ac:dyDescent="0.25">
      <c r="A203" s="72" t="s">
        <v>52</v>
      </c>
      <c r="B203" s="27"/>
      <c r="C203" s="27">
        <f>C200+C201</f>
        <v>24858.872342257237</v>
      </c>
      <c r="D203" s="27">
        <f>D200+D201</f>
        <v>24826.548539012376</v>
      </c>
      <c r="E203" s="27">
        <f>E200+E201</f>
        <v>27141.462232292615</v>
      </c>
      <c r="F203" s="27">
        <f>F200+F201</f>
        <v>28720.365717770419</v>
      </c>
      <c r="G203" s="27">
        <f>G200+G201</f>
        <v>31715.156784297626</v>
      </c>
      <c r="H203" s="74">
        <f>SUMPRODUCT(E203:G203,$E$47:$G$47)</f>
        <v>95065.126140405846</v>
      </c>
    </row>
    <row r="204" spans="1:8" x14ac:dyDescent="0.25">
      <c r="A204" s="72" t="s">
        <v>32</v>
      </c>
      <c r="B204" s="31"/>
      <c r="C204" s="74">
        <f>C92</f>
        <v>24858.872342257237</v>
      </c>
      <c r="D204" s="74">
        <f>D92</f>
        <v>24826.548539012376</v>
      </c>
      <c r="E204" s="74">
        <f>E92</f>
        <v>27141.462232292615</v>
      </c>
      <c r="F204" s="74">
        <f>F92</f>
        <v>31592.402289547463</v>
      </c>
      <c r="G204" s="74">
        <f>G92</f>
        <v>38375.339709000116</v>
      </c>
      <c r="H204" s="74">
        <f>SUMPRODUCT(E204:G204,$E$47:$G$47)</f>
        <v>104849.22324423023</v>
      </c>
    </row>
    <row r="205" spans="1:8" x14ac:dyDescent="0.25">
      <c r="A205" s="72" t="s">
        <v>156</v>
      </c>
      <c r="B205" s="31"/>
      <c r="C205" s="74"/>
      <c r="D205" s="74"/>
      <c r="E205" s="74">
        <f t="shared" ref="E205:F205" si="21">E161</f>
        <v>0</v>
      </c>
      <c r="F205" s="74">
        <f t="shared" si="21"/>
        <v>0</v>
      </c>
      <c r="G205" s="74">
        <f>G161</f>
        <v>11689.018688182099</v>
      </c>
      <c r="H205" s="74">
        <f>SUMPRODUCT(E205:G205,$E$47:$G$47)</f>
        <v>11689.018688182099</v>
      </c>
    </row>
    <row r="206" spans="1:8" x14ac:dyDescent="0.25">
      <c r="A206" s="72" t="s">
        <v>195</v>
      </c>
      <c r="B206" s="31"/>
      <c r="C206" s="74"/>
      <c r="D206" s="74"/>
      <c r="E206" s="74">
        <f t="shared" ref="E206:F206" si="22">E165</f>
        <v>0</v>
      </c>
      <c r="F206" s="74">
        <f t="shared" si="22"/>
        <v>0</v>
      </c>
      <c r="G206" s="74">
        <f>G165</f>
        <v>12503.474397993199</v>
      </c>
      <c r="H206" s="74">
        <f>SUMPRODUCT(E206:G206,$E$47:$G$47)</f>
        <v>12503.474397993199</v>
      </c>
    </row>
    <row r="207" spans="1:8" x14ac:dyDescent="0.25">
      <c r="A207" s="72"/>
      <c r="B207" s="31"/>
      <c r="C207" s="74"/>
      <c r="D207" s="74"/>
      <c r="E207" s="74"/>
      <c r="F207" s="74"/>
      <c r="G207" s="74"/>
    </row>
    <row r="208" spans="1:8" x14ac:dyDescent="0.25">
      <c r="A208" s="72" t="s">
        <v>215</v>
      </c>
      <c r="B208" s="31"/>
      <c r="C208" s="74">
        <f>SUM(C204:C206)-C203</f>
        <v>0</v>
      </c>
      <c r="D208" s="74">
        <f t="shared" ref="D208:G208" si="23">SUM(D204:D206)-D203</f>
        <v>0</v>
      </c>
      <c r="E208" s="74">
        <f t="shared" si="23"/>
        <v>0</v>
      </c>
      <c r="F208" s="74">
        <f>SUM(F204:F206)-F203</f>
        <v>2872.0365717770437</v>
      </c>
      <c r="G208" s="74">
        <f t="shared" si="23"/>
        <v>30852.676010877793</v>
      </c>
      <c r="H208" s="74">
        <f>SUMPRODUCT(E208:G208,$E$47:$G$47)</f>
        <v>33976.590189999682</v>
      </c>
    </row>
    <row r="209" spans="1:8" x14ac:dyDescent="0.25">
      <c r="A209" s="72"/>
      <c r="B209" s="31"/>
      <c r="C209" s="74"/>
      <c r="D209" s="74"/>
      <c r="E209" s="74"/>
      <c r="F209" s="74"/>
      <c r="G209" s="74"/>
      <c r="H209" s="74"/>
    </row>
    <row r="210" spans="1:8" ht="33.75" customHeight="1" x14ac:dyDescent="0.35">
      <c r="A210" s="134" t="s">
        <v>174</v>
      </c>
      <c r="B210" s="116"/>
      <c r="C210" s="116"/>
      <c r="D210" s="116"/>
      <c r="E210" s="116"/>
      <c r="F210" s="116"/>
      <c r="G210" s="116"/>
      <c r="H210" s="116"/>
    </row>
    <row r="211" spans="1:8" ht="33.75" customHeight="1" x14ac:dyDescent="0.35">
      <c r="A211" s="130" t="s">
        <v>233</v>
      </c>
      <c r="B211" s="11"/>
    </row>
    <row r="212" spans="1:8" x14ac:dyDescent="0.25">
      <c r="A212" s="137"/>
      <c r="B212" s="15"/>
      <c r="C212" s="15"/>
      <c r="D212" s="15"/>
      <c r="E212" s="15">
        <v>2013</v>
      </c>
      <c r="F212" s="15">
        <v>2014</v>
      </c>
      <c r="G212" s="15">
        <v>2015</v>
      </c>
    </row>
    <row r="213" spans="1:8" x14ac:dyDescent="0.25">
      <c r="A213" s="71" t="str">
        <f>A179</f>
        <v>Revenue equivalent to expected return of 8.77% incl. ORI incl. gains/losses on disposal</v>
      </c>
      <c r="B213" s="31"/>
      <c r="C213" s="74"/>
      <c r="D213" s="74"/>
      <c r="E213" s="74">
        <f>E179/Timing</f>
        <v>36277.394988863423</v>
      </c>
      <c r="F213" s="74">
        <f>F179/Timing</f>
        <v>35612.92896524947</v>
      </c>
      <c r="G213" s="74">
        <f>G179/Timing</f>
        <v>40261.212598146391</v>
      </c>
    </row>
    <row r="214" spans="1:8" x14ac:dyDescent="0.25">
      <c r="A214" s="72" t="s">
        <v>189</v>
      </c>
      <c r="B214" s="31"/>
      <c r="C214" s="74"/>
      <c r="D214" s="74"/>
      <c r="E214" s="74">
        <f t="shared" ref="E214:G225" si="24">(E180-E179)/Timing</f>
        <v>0</v>
      </c>
      <c r="F214" s="74">
        <f t="shared" si="24"/>
        <v>-351.28758374255108</v>
      </c>
      <c r="G214" s="74">
        <f t="shared" si="24"/>
        <v>-397.14566946067447</v>
      </c>
    </row>
    <row r="215" spans="1:8" x14ac:dyDescent="0.25">
      <c r="A215" s="72" t="s">
        <v>190</v>
      </c>
      <c r="B215" s="31"/>
      <c r="C215" s="74"/>
      <c r="D215" s="74"/>
      <c r="E215" s="74">
        <f t="shared" si="24"/>
        <v>0</v>
      </c>
      <c r="F215" s="74">
        <f t="shared" si="24"/>
        <v>1148.4903443246401</v>
      </c>
      <c r="G215" s="74">
        <f t="shared" si="24"/>
        <v>4274.6716210360637</v>
      </c>
    </row>
    <row r="216" spans="1:8" x14ac:dyDescent="0.25">
      <c r="A216" s="72" t="s">
        <v>184</v>
      </c>
      <c r="B216" s="31"/>
      <c r="C216" s="74"/>
      <c r="D216" s="74"/>
      <c r="E216" s="74">
        <f t="shared" si="24"/>
        <v>0</v>
      </c>
      <c r="F216" s="74">
        <f t="shared" si="24"/>
        <v>-321.1380527121259</v>
      </c>
      <c r="G216" s="74">
        <f t="shared" si="24"/>
        <v>-774.44993849519108</v>
      </c>
    </row>
    <row r="217" spans="1:8" x14ac:dyDescent="0.25">
      <c r="A217" s="72" t="s">
        <v>185</v>
      </c>
      <c r="B217" s="31"/>
      <c r="C217" s="74"/>
      <c r="D217" s="74"/>
      <c r="E217" s="74">
        <f t="shared" si="24"/>
        <v>0</v>
      </c>
      <c r="F217" s="74">
        <f t="shared" si="24"/>
        <v>-1124.3975992325043</v>
      </c>
      <c r="G217" s="74">
        <f t="shared" si="24"/>
        <v>-659.25523792787521</v>
      </c>
    </row>
    <row r="218" spans="1:8" x14ac:dyDescent="0.25">
      <c r="A218" s="72" t="s">
        <v>183</v>
      </c>
      <c r="B218" s="31"/>
      <c r="C218" s="74"/>
      <c r="D218" s="74"/>
      <c r="E218" s="74">
        <f t="shared" si="24"/>
        <v>-10142.697544992689</v>
      </c>
      <c r="F218" s="74">
        <f t="shared" si="24"/>
        <v>0</v>
      </c>
      <c r="G218" s="74">
        <f t="shared" si="24"/>
        <v>0</v>
      </c>
    </row>
    <row r="219" spans="1:8" x14ac:dyDescent="0.25">
      <c r="A219" s="72" t="s">
        <v>186</v>
      </c>
      <c r="B219" s="31"/>
      <c r="C219" s="74"/>
      <c r="D219" s="74"/>
      <c r="E219" s="74">
        <f t="shared" si="24"/>
        <v>0</v>
      </c>
      <c r="F219" s="74">
        <f t="shared" si="24"/>
        <v>0</v>
      </c>
      <c r="G219" s="74">
        <f t="shared" si="24"/>
        <v>11297.291934335772</v>
      </c>
    </row>
    <row r="220" spans="1:8" x14ac:dyDescent="0.25">
      <c r="A220" s="72" t="s">
        <v>187</v>
      </c>
      <c r="B220" s="31"/>
      <c r="C220" s="74"/>
      <c r="D220" s="74"/>
      <c r="E220" s="74">
        <f t="shared" si="24"/>
        <v>0</v>
      </c>
      <c r="F220" s="74">
        <f t="shared" si="24"/>
        <v>-5552.2801201565217</v>
      </c>
      <c r="G220" s="74">
        <f t="shared" si="24"/>
        <v>-6277.090644253456</v>
      </c>
    </row>
    <row r="221" spans="1:8" x14ac:dyDescent="0.25">
      <c r="A221" s="72" t="s">
        <v>188</v>
      </c>
      <c r="B221" s="31"/>
      <c r="C221" s="74"/>
      <c r="D221" s="74"/>
      <c r="E221" s="74">
        <f t="shared" si="24"/>
        <v>0</v>
      </c>
      <c r="F221" s="74">
        <f t="shared" si="24"/>
        <v>0</v>
      </c>
      <c r="G221" s="74">
        <f t="shared" si="24"/>
        <v>12084.453300638084</v>
      </c>
    </row>
    <row r="222" spans="1:8" x14ac:dyDescent="0.25">
      <c r="A222" s="72" t="s">
        <v>212</v>
      </c>
      <c r="B222" s="31"/>
      <c r="C222" s="74"/>
      <c r="D222" s="74"/>
      <c r="E222" s="74">
        <f t="shared" si="24"/>
        <v>0</v>
      </c>
      <c r="F222" s="74">
        <f t="shared" si="24"/>
        <v>0</v>
      </c>
      <c r="G222" s="74">
        <f t="shared" si="24"/>
        <v>0</v>
      </c>
    </row>
    <row r="223" spans="1:8" x14ac:dyDescent="0.25">
      <c r="A223" s="72" t="s">
        <v>191</v>
      </c>
      <c r="B223" s="31"/>
      <c r="C223" s="74"/>
      <c r="D223" s="74"/>
      <c r="E223" s="74">
        <f t="shared" si="24"/>
        <v>21.901472477095467</v>
      </c>
      <c r="F223" s="74">
        <f t="shared" si="24"/>
        <v>19.870422090611743</v>
      </c>
      <c r="G223" s="74">
        <f t="shared" si="24"/>
        <v>-2.7168050913527875</v>
      </c>
    </row>
    <row r="224" spans="1:8" x14ac:dyDescent="0.25">
      <c r="A224" s="72" t="s">
        <v>279</v>
      </c>
      <c r="B224" s="31"/>
      <c r="C224" s="74"/>
      <c r="D224" s="74"/>
      <c r="E224" s="74">
        <f t="shared" si="24"/>
        <v>-538.80521999999758</v>
      </c>
      <c r="F224" s="74">
        <f t="shared" si="24"/>
        <v>-168.47564000000014</v>
      </c>
      <c r="G224" s="74">
        <f t="shared" si="24"/>
        <v>-225.33927108503826</v>
      </c>
    </row>
    <row r="225" spans="1:7" x14ac:dyDescent="0.25">
      <c r="A225" s="72" t="s">
        <v>192</v>
      </c>
      <c r="B225" s="31"/>
      <c r="C225" s="74"/>
      <c r="D225" s="74"/>
      <c r="E225" s="74">
        <f t="shared" si="24"/>
        <v>0</v>
      </c>
      <c r="F225" s="74">
        <f t="shared" si="24"/>
        <v>3.7536561789766871</v>
      </c>
      <c r="G225" s="74">
        <f t="shared" si="24"/>
        <v>9.052240220011063</v>
      </c>
    </row>
    <row r="226" spans="1:7" x14ac:dyDescent="0.25">
      <c r="A226" s="72" t="s">
        <v>194</v>
      </c>
      <c r="B226" s="31"/>
      <c r="C226" s="74"/>
      <c r="D226" s="74"/>
      <c r="E226" s="74">
        <f>E213+SUM(E214:E225)</f>
        <v>25617.793696347831</v>
      </c>
      <c r="F226" s="74">
        <f t="shared" ref="F226:G226" si="25">F213+SUM(F214:F225)</f>
        <v>29267.464391999994</v>
      </c>
      <c r="G226" s="74">
        <f t="shared" si="25"/>
        <v>59590.684128062727</v>
      </c>
    </row>
    <row r="227" spans="1:7" ht="33.75" customHeight="1" x14ac:dyDescent="0.35">
      <c r="A227" s="130" t="s">
        <v>232</v>
      </c>
      <c r="B227" s="157"/>
      <c r="C227" s="74"/>
      <c r="D227" s="74"/>
      <c r="E227" s="74"/>
      <c r="F227" s="74"/>
      <c r="G227" s="74"/>
    </row>
    <row r="228" spans="1:7" ht="27" customHeight="1" x14ac:dyDescent="0.25">
      <c r="A228" s="72"/>
      <c r="B228" s="15"/>
      <c r="C228" s="15"/>
      <c r="D228" s="15"/>
      <c r="E228" s="15">
        <v>2013</v>
      </c>
      <c r="F228" s="15">
        <v>2014</v>
      </c>
      <c r="G228" s="15">
        <v>2015</v>
      </c>
    </row>
    <row r="229" spans="1:7" x14ac:dyDescent="0.25">
      <c r="A229" s="72" t="s">
        <v>215</v>
      </c>
      <c r="B229" s="31"/>
      <c r="C229" s="74"/>
      <c r="D229" s="74"/>
      <c r="E229" s="74">
        <f>E208/Timing</f>
        <v>0</v>
      </c>
      <c r="F229" s="74">
        <f>F208/Timing</f>
        <v>2775.7878110211373</v>
      </c>
      <c r="G229" s="74">
        <f>G208/Timing</f>
        <v>29818.729625503911</v>
      </c>
    </row>
    <row r="230" spans="1:7" ht="33" customHeight="1" x14ac:dyDescent="0.35">
      <c r="A230" s="130" t="s">
        <v>214</v>
      </c>
      <c r="B230" s="11"/>
    </row>
    <row r="231" spans="1:7" x14ac:dyDescent="0.25">
      <c r="A231" s="15"/>
      <c r="B231" s="143" t="s">
        <v>27</v>
      </c>
    </row>
    <row r="232" spans="1:7" x14ac:dyDescent="0.25">
      <c r="A232" s="72" t="s">
        <v>175</v>
      </c>
      <c r="B232" s="132">
        <f>((1+E28)*(1+F28)*(1+G28))^(1/3)-1</f>
        <v>5.4803237473892707E-3</v>
      </c>
    </row>
    <row r="233" spans="1:7" x14ac:dyDescent="0.25">
      <c r="A233" s="72" t="s">
        <v>176</v>
      </c>
      <c r="B233" s="132">
        <f>((1+E138)*(1+F138)*(1+G138))^(1/3)-1</f>
        <v>6.1004167666081965E-2</v>
      </c>
    </row>
    <row r="234" spans="1:7" x14ac:dyDescent="0.25">
      <c r="A234" s="71" t="s">
        <v>128</v>
      </c>
      <c r="B234" s="132">
        <f>B233-B232</f>
        <v>5.5523843918692695E-2</v>
      </c>
    </row>
    <row r="235" spans="1:7" ht="33" customHeight="1" x14ac:dyDescent="0.35">
      <c r="A235" s="130" t="s">
        <v>245</v>
      </c>
    </row>
    <row r="236" spans="1:7" x14ac:dyDescent="0.25">
      <c r="A236" s="81" t="s">
        <v>249</v>
      </c>
      <c r="B236" s="132">
        <f>H88/H87-1</f>
        <v>-2.666652829047389E-2</v>
      </c>
    </row>
    <row r="237" spans="1:7" x14ac:dyDescent="0.25">
      <c r="A237" s="81" t="s">
        <v>248</v>
      </c>
      <c r="B237" s="132">
        <f>H76/H81-1</f>
        <v>2.0126180887448641</v>
      </c>
    </row>
  </sheetData>
  <pageMargins left="0.70866141732283472" right="0.70866141732283472" top="0.74803149606299213" bottom="0.74803149606299213" header="0.31496062992125984" footer="0.31496062992125984"/>
  <pageSetup paperSize="9" scale="45" fitToHeight="0" orientation="portrait" r:id="rId1"/>
  <headerFooter>
    <oddFooter>&amp;L&amp;F&amp;C&amp;A&amp;R&amp;P</oddFooter>
  </headerFooter>
  <rowBreaks count="2" manualBreakCount="2">
    <brk id="92" max="8" man="1"/>
    <brk id="191" max="8"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rgb="FF3E8A92"/>
    <pageSetUpPr fitToPage="1"/>
  </sheetPr>
  <dimension ref="A1:T100"/>
  <sheetViews>
    <sheetView showGridLines="0" view="pageBreakPreview" zoomScaleNormal="70" zoomScaleSheetLayoutView="100" zoomScalePageLayoutView="70" workbookViewId="0"/>
  </sheetViews>
  <sheetFormatPr defaultColWidth="12.42578125" defaultRowHeight="15" x14ac:dyDescent="0.25"/>
  <cols>
    <col min="1" max="1" width="81.42578125" style="11" customWidth="1"/>
    <col min="2" max="2" width="10.5703125" style="11" customWidth="1"/>
    <col min="3" max="3" width="11.7109375" style="11" customWidth="1"/>
    <col min="4" max="4" width="16.140625" style="11" bestFit="1" customWidth="1"/>
    <col min="5" max="6" width="15.42578125" style="11" bestFit="1" customWidth="1"/>
    <col min="7" max="8" width="14.42578125" style="11" bestFit="1" customWidth="1"/>
    <col min="9" max="9" width="15.42578125" style="11" bestFit="1" customWidth="1"/>
    <col min="10" max="10" width="14.42578125" style="11" bestFit="1" customWidth="1"/>
    <col min="11" max="11" width="15.42578125" style="11" bestFit="1" customWidth="1"/>
    <col min="12" max="12" width="14.42578125" style="11" bestFit="1" customWidth="1"/>
    <col min="13" max="13" width="13.140625" style="11" bestFit="1" customWidth="1"/>
    <col min="14" max="14" width="14.42578125" style="11" bestFit="1" customWidth="1"/>
    <col min="15" max="15" width="15.42578125" style="11" bestFit="1" customWidth="1"/>
    <col min="16" max="16" width="14.42578125" style="11" bestFit="1" customWidth="1"/>
    <col min="17" max="18" width="15.42578125" style="11" bestFit="1" customWidth="1"/>
    <col min="19" max="19" width="16.28515625" style="11" bestFit="1" customWidth="1"/>
    <col min="20" max="20" width="15.42578125" style="11" bestFit="1" customWidth="1"/>
    <col min="21" max="21" width="2.7109375" style="11" customWidth="1"/>
    <col min="22" max="16384" width="12.42578125" style="11"/>
  </cols>
  <sheetData>
    <row r="1" spans="1:20" ht="26.25" customHeight="1" x14ac:dyDescent="0.25">
      <c r="A1" s="89" t="s">
        <v>130</v>
      </c>
    </row>
    <row r="2" spans="1:20" ht="15.75" x14ac:dyDescent="0.25">
      <c r="A2" s="124" t="s">
        <v>172</v>
      </c>
      <c r="B2" s="183"/>
      <c r="C2" s="184"/>
    </row>
    <row r="4" spans="1:20" ht="30" customHeight="1" x14ac:dyDescent="0.25">
      <c r="A4" s="44"/>
      <c r="B4" s="15" t="s">
        <v>6</v>
      </c>
      <c r="C4" s="121" t="str">
        <f>Selection!B6</f>
        <v>Alpine Energy</v>
      </c>
      <c r="D4" s="15" t="str">
        <f>Data!E4</f>
        <v>Alpine Energy</v>
      </c>
      <c r="E4" s="15" t="str">
        <f>Data!F4</f>
        <v>Aurora Energy</v>
      </c>
      <c r="F4" s="15" t="str">
        <f>Data!G4</f>
        <v>Centralines</v>
      </c>
      <c r="G4" s="15" t="str">
        <f>Data!H4</f>
        <v>Eastland Network</v>
      </c>
      <c r="H4" s="15" t="str">
        <f>Data!I4</f>
        <v>Electricity Ashburton</v>
      </c>
      <c r="I4" s="15" t="str">
        <f>Data!J4</f>
        <v>Electricity Invercargill</v>
      </c>
      <c r="J4" s="15" t="str">
        <f>Data!K4</f>
        <v>Horizon Energy</v>
      </c>
      <c r="K4" s="15" t="str">
        <f>Data!L4</f>
        <v>Nelson Electricity</v>
      </c>
      <c r="L4" s="15" t="str">
        <f>Data!M4</f>
        <v>Network Tasman</v>
      </c>
      <c r="M4" s="15" t="str">
        <f>Data!O4</f>
        <v>OtagoNet</v>
      </c>
      <c r="N4" s="15" t="str">
        <f>Data!P4</f>
        <v>Powerco</v>
      </c>
      <c r="O4" s="15" t="str">
        <f>Data!Q4</f>
        <v>The Lines Company</v>
      </c>
      <c r="P4" s="15" t="str">
        <f>Data!R4</f>
        <v>Top Energy</v>
      </c>
      <c r="Q4" s="15" t="str">
        <f>Data!S4</f>
        <v>Unison Networks</v>
      </c>
      <c r="R4" s="15" t="str">
        <f>Data!T4</f>
        <v>Vector Lines</v>
      </c>
      <c r="S4" s="15" t="str">
        <f>Data!U4</f>
        <v>Wellington Electricity</v>
      </c>
      <c r="T4" s="33" t="str">
        <f>Data!N4</f>
        <v>Orion NZ</v>
      </c>
    </row>
    <row r="5" spans="1:20" x14ac:dyDescent="0.25">
      <c r="A5" s="41" t="s">
        <v>71</v>
      </c>
      <c r="B5" s="33"/>
      <c r="C5" s="121">
        <f>Selection!C6</f>
        <v>1</v>
      </c>
      <c r="D5" s="33">
        <f>Data!E5</f>
        <v>1</v>
      </c>
      <c r="E5" s="33">
        <f>Data!F5</f>
        <v>2</v>
      </c>
      <c r="F5" s="33">
        <f>Data!G5</f>
        <v>3</v>
      </c>
      <c r="G5" s="33">
        <f>Data!H5</f>
        <v>4</v>
      </c>
      <c r="H5" s="33">
        <f>Data!I5</f>
        <v>5</v>
      </c>
      <c r="I5" s="33">
        <f>Data!J5</f>
        <v>6</v>
      </c>
      <c r="J5" s="33">
        <f>Data!K5</f>
        <v>7</v>
      </c>
      <c r="K5" s="33">
        <f>Data!L5</f>
        <v>8</v>
      </c>
      <c r="L5" s="33">
        <f>Data!M5</f>
        <v>9</v>
      </c>
      <c r="M5" s="33">
        <f>Data!O5</f>
        <v>11</v>
      </c>
      <c r="N5" s="33">
        <f>Data!P5</f>
        <v>12</v>
      </c>
      <c r="O5" s="33">
        <f>Data!Q5</f>
        <v>13</v>
      </c>
      <c r="P5" s="33">
        <f>Data!R5</f>
        <v>14</v>
      </c>
      <c r="Q5" s="33">
        <f>Data!S5</f>
        <v>15</v>
      </c>
      <c r="R5" s="33">
        <f>Data!T5</f>
        <v>16</v>
      </c>
      <c r="S5" s="33">
        <f>Data!U5</f>
        <v>17</v>
      </c>
      <c r="T5" s="33">
        <f>Data!N5</f>
        <v>10</v>
      </c>
    </row>
    <row r="6" spans="1:20" ht="33.75" customHeight="1" x14ac:dyDescent="0.35">
      <c r="A6" s="134" t="s">
        <v>239</v>
      </c>
      <c r="B6" s="131"/>
      <c r="C6" s="102"/>
      <c r="D6" s="160">
        <f t="dataTable" ref="D6:T100" dt2D="0" dtr="1" r1="C5"/>
        <v>0</v>
      </c>
      <c r="E6" s="160">
        <v>0</v>
      </c>
      <c r="F6" s="160">
        <v>0</v>
      </c>
      <c r="G6" s="160">
        <v>0</v>
      </c>
      <c r="H6" s="160">
        <v>0</v>
      </c>
      <c r="I6" s="160">
        <v>0</v>
      </c>
      <c r="J6" s="160">
        <v>0</v>
      </c>
      <c r="K6" s="160">
        <v>0</v>
      </c>
      <c r="L6" s="160">
        <v>0</v>
      </c>
      <c r="M6" s="160">
        <v>0</v>
      </c>
      <c r="N6" s="160">
        <v>0</v>
      </c>
      <c r="O6" s="160">
        <v>0</v>
      </c>
      <c r="P6" s="160">
        <v>0</v>
      </c>
      <c r="Q6" s="160">
        <v>0</v>
      </c>
      <c r="R6" s="160">
        <v>0</v>
      </c>
      <c r="S6" s="160">
        <v>0</v>
      </c>
      <c r="T6" s="160">
        <v>0</v>
      </c>
    </row>
    <row r="7" spans="1:20" x14ac:dyDescent="0.25">
      <c r="A7" s="41" t="str">
        <f>Calculations!A214</f>
        <v>Billed quantities (Delta D)</v>
      </c>
      <c r="B7" s="20">
        <v>2013</v>
      </c>
      <c r="C7" s="102">
        <f>Calculations!$E$214</f>
        <v>0</v>
      </c>
      <c r="D7" s="26">
        <v>0</v>
      </c>
      <c r="E7" s="26">
        <v>0</v>
      </c>
      <c r="F7" s="26">
        <v>0</v>
      </c>
      <c r="G7" s="26">
        <v>0</v>
      </c>
      <c r="H7" s="26">
        <v>0</v>
      </c>
      <c r="I7" s="26">
        <v>0</v>
      </c>
      <c r="J7" s="26">
        <v>0</v>
      </c>
      <c r="K7" s="26">
        <v>0</v>
      </c>
      <c r="L7" s="26">
        <v>0</v>
      </c>
      <c r="M7" s="26">
        <v>0</v>
      </c>
      <c r="N7" s="26">
        <v>0</v>
      </c>
      <c r="O7" s="26">
        <v>0</v>
      </c>
      <c r="P7" s="26">
        <v>0</v>
      </c>
      <c r="Q7" s="26">
        <v>0</v>
      </c>
      <c r="R7" s="26">
        <v>0</v>
      </c>
      <c r="S7" s="26">
        <v>0</v>
      </c>
      <c r="T7" s="26">
        <v>0</v>
      </c>
    </row>
    <row r="8" spans="1:20" x14ac:dyDescent="0.25">
      <c r="A8" s="41" t="s">
        <v>189</v>
      </c>
      <c r="B8" s="20">
        <v>2014</v>
      </c>
      <c r="C8" s="102">
        <f>Calculations!$F$214</f>
        <v>-351.28758374255108</v>
      </c>
      <c r="D8" s="26">
        <v>-351.28758374255108</v>
      </c>
      <c r="E8" s="26">
        <v>-4574.8089879638228</v>
      </c>
      <c r="F8" s="26">
        <v>144.69007178468758</v>
      </c>
      <c r="G8" s="26">
        <v>-808.14753017520252</v>
      </c>
      <c r="H8" s="26">
        <v>1642.2054191710477</v>
      </c>
      <c r="I8" s="26">
        <v>-488.29860491434158</v>
      </c>
      <c r="J8" s="26">
        <v>229.53282098343837</v>
      </c>
      <c r="K8" s="26">
        <v>-582.09717339596909</v>
      </c>
      <c r="L8" s="26">
        <v>-476.44013822972903</v>
      </c>
      <c r="M8" s="26">
        <v>-78.103641859072141</v>
      </c>
      <c r="N8" s="26">
        <v>-1837.3328199472558</v>
      </c>
      <c r="O8" s="26">
        <v>4231.2701278186496</v>
      </c>
      <c r="P8" s="26">
        <v>-950.12481685153364</v>
      </c>
      <c r="Q8" s="26">
        <v>-453.75785114317677</v>
      </c>
      <c r="R8" s="26">
        <v>-16885.912126223306</v>
      </c>
      <c r="S8" s="26">
        <v>-7797.2661565790477</v>
      </c>
      <c r="T8" s="26">
        <v>0</v>
      </c>
    </row>
    <row r="9" spans="1:20" x14ac:dyDescent="0.25">
      <c r="A9" s="41" t="s">
        <v>189</v>
      </c>
      <c r="B9" s="20">
        <v>2015</v>
      </c>
      <c r="C9" s="102">
        <f>Calculations!$G$214</f>
        <v>-397.14566946067447</v>
      </c>
      <c r="D9" s="26">
        <v>-397.14566946067447</v>
      </c>
      <c r="E9" s="26">
        <v>-4871.7739256601344</v>
      </c>
      <c r="F9" s="26">
        <v>162.27189064680599</v>
      </c>
      <c r="G9" s="26">
        <v>-834.12524431227189</v>
      </c>
      <c r="H9" s="26">
        <v>1709.1976463871179</v>
      </c>
      <c r="I9" s="26">
        <v>-495.50007634559046</v>
      </c>
      <c r="J9" s="26">
        <v>235.26844032973858</v>
      </c>
      <c r="K9" s="26">
        <v>-570.43586254045601</v>
      </c>
      <c r="L9" s="26">
        <v>-493.597866791287</v>
      </c>
      <c r="M9" s="26">
        <v>-82.139205854953516</v>
      </c>
      <c r="N9" s="26">
        <v>-1869.8278426044374</v>
      </c>
      <c r="O9" s="26">
        <v>4755.2872512882604</v>
      </c>
      <c r="P9" s="26">
        <v>-1071.5895118538094</v>
      </c>
      <c r="Q9" s="26">
        <v>-500.41082468027395</v>
      </c>
      <c r="R9" s="26">
        <v>-17440.991661836604</v>
      </c>
      <c r="S9" s="26">
        <v>-7972.6173383290579</v>
      </c>
      <c r="T9" s="26">
        <v>0</v>
      </c>
    </row>
    <row r="10" spans="1:20" x14ac:dyDescent="0.25">
      <c r="A10" s="41" t="s">
        <v>190</v>
      </c>
      <c r="B10" s="20">
        <v>2013</v>
      </c>
      <c r="C10" s="102">
        <f>Calculations!$E$215</f>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row>
    <row r="11" spans="1:20" x14ac:dyDescent="0.25">
      <c r="A11" s="41" t="s">
        <v>190</v>
      </c>
      <c r="B11" s="20">
        <v>2014</v>
      </c>
      <c r="C11" s="102">
        <f>Calculations!$F$215</f>
        <v>1148.4903443246401</v>
      </c>
      <c r="D11" s="26">
        <v>1148.4903443246401</v>
      </c>
      <c r="E11" s="26">
        <v>0</v>
      </c>
      <c r="F11" s="26">
        <v>-354.07545002072101</v>
      </c>
      <c r="G11" s="26">
        <v>0</v>
      </c>
      <c r="H11" s="26">
        <v>0</v>
      </c>
      <c r="I11" s="26">
        <v>0</v>
      </c>
      <c r="J11" s="26">
        <v>0</v>
      </c>
      <c r="K11" s="26">
        <v>0</v>
      </c>
      <c r="L11" s="26">
        <v>0</v>
      </c>
      <c r="M11" s="26">
        <v>0</v>
      </c>
      <c r="N11" s="26">
        <v>0</v>
      </c>
      <c r="O11" s="26">
        <v>389.32651577500121</v>
      </c>
      <c r="P11" s="26">
        <v>-835.08871376917364</v>
      </c>
      <c r="Q11" s="26">
        <v>0</v>
      </c>
      <c r="R11" s="26">
        <v>0</v>
      </c>
      <c r="S11" s="26">
        <v>0</v>
      </c>
      <c r="T11" s="26">
        <v>0</v>
      </c>
    </row>
    <row r="12" spans="1:20" x14ac:dyDescent="0.25">
      <c r="A12" s="41" t="s">
        <v>190</v>
      </c>
      <c r="B12" s="20">
        <v>2015</v>
      </c>
      <c r="C12" s="102">
        <f>Calculations!$G$215</f>
        <v>4274.6716210360637</v>
      </c>
      <c r="D12" s="26">
        <v>4274.6716210360637</v>
      </c>
      <c r="E12" s="26">
        <v>2803.3477008953423</v>
      </c>
      <c r="F12" s="26">
        <v>-196.48792392268609</v>
      </c>
      <c r="G12" s="26">
        <v>524.94192014089674</v>
      </c>
      <c r="H12" s="26">
        <v>446.70735042495335</v>
      </c>
      <c r="I12" s="26">
        <v>83.253497422405431</v>
      </c>
      <c r="J12" s="26">
        <v>333.97793799104278</v>
      </c>
      <c r="K12" s="26">
        <v>-252.01588323098824</v>
      </c>
      <c r="L12" s="26">
        <v>588.23409034758834</v>
      </c>
      <c r="M12" s="26">
        <v>965.14306153745088</v>
      </c>
      <c r="N12" s="26">
        <v>712.94081164476029</v>
      </c>
      <c r="O12" s="26">
        <v>648.15722289295991</v>
      </c>
      <c r="P12" s="26">
        <v>-1034.0827106501431</v>
      </c>
      <c r="Q12" s="26">
        <v>1085.117786056072</v>
      </c>
      <c r="R12" s="26">
        <v>2640.9754490083578</v>
      </c>
      <c r="S12" s="26">
        <v>510.47773088465965</v>
      </c>
      <c r="T12" s="26">
        <v>16681.392211411683</v>
      </c>
    </row>
    <row r="13" spans="1:20" x14ac:dyDescent="0.25">
      <c r="A13" s="41" t="s">
        <v>184</v>
      </c>
      <c r="B13" s="20">
        <v>2013</v>
      </c>
      <c r="C13" s="146">
        <f>Calculations!$E$216</f>
        <v>0</v>
      </c>
      <c r="D13" s="27">
        <v>0</v>
      </c>
      <c r="E13" s="27">
        <v>0</v>
      </c>
      <c r="F13" s="27">
        <v>0</v>
      </c>
      <c r="G13" s="27">
        <v>0</v>
      </c>
      <c r="H13" s="27">
        <v>0</v>
      </c>
      <c r="I13" s="27">
        <v>0</v>
      </c>
      <c r="J13" s="27">
        <v>0</v>
      </c>
      <c r="K13" s="27">
        <v>0</v>
      </c>
      <c r="L13" s="27">
        <v>0</v>
      </c>
      <c r="M13" s="27">
        <v>0</v>
      </c>
      <c r="N13" s="27">
        <v>0</v>
      </c>
      <c r="O13" s="27">
        <v>0</v>
      </c>
      <c r="P13" s="27">
        <v>0</v>
      </c>
      <c r="Q13" s="27">
        <v>0</v>
      </c>
      <c r="R13" s="27">
        <v>0</v>
      </c>
      <c r="S13" s="27">
        <v>0</v>
      </c>
      <c r="T13" s="27">
        <v>0</v>
      </c>
    </row>
    <row r="14" spans="1:20" x14ac:dyDescent="0.25">
      <c r="A14" s="41" t="s">
        <v>184</v>
      </c>
      <c r="B14" s="20">
        <v>2014</v>
      </c>
      <c r="C14" s="146">
        <f>Calculations!$F$216</f>
        <v>-321.1380527121259</v>
      </c>
      <c r="D14" s="27">
        <v>-321.1380527121259</v>
      </c>
      <c r="E14" s="27">
        <v>-621.4310127709673</v>
      </c>
      <c r="F14" s="27">
        <v>-94.901084884200642</v>
      </c>
      <c r="G14" s="27">
        <v>-228.96849026453646</v>
      </c>
      <c r="H14" s="27">
        <v>-321.74008913046316</v>
      </c>
      <c r="I14" s="27">
        <v>-143.85731238237835</v>
      </c>
      <c r="J14" s="27">
        <v>-225.74187632117625</v>
      </c>
      <c r="K14" s="27">
        <v>-77.713023040289656</v>
      </c>
      <c r="L14" s="27">
        <v>-312.55512629733062</v>
      </c>
      <c r="M14" s="27">
        <v>-267.41492909791953</v>
      </c>
      <c r="N14" s="27">
        <v>-2661.0876761550239</v>
      </c>
      <c r="O14" s="27">
        <v>-324.27213089725171</v>
      </c>
      <c r="P14" s="27">
        <v>-341.28520606286492</v>
      </c>
      <c r="Q14" s="27">
        <v>-989.28552148326366</v>
      </c>
      <c r="R14" s="27">
        <v>-4501.3507844705455</v>
      </c>
      <c r="S14" s="27">
        <v>-1181.6537472723535</v>
      </c>
      <c r="T14" s="27">
        <v>0</v>
      </c>
    </row>
    <row r="15" spans="1:20" x14ac:dyDescent="0.25">
      <c r="A15" s="41" t="s">
        <v>184</v>
      </c>
      <c r="B15" s="20">
        <v>2015</v>
      </c>
      <c r="C15" s="146">
        <f>Calculations!$G$216</f>
        <v>-774.44993849519108</v>
      </c>
      <c r="D15" s="27">
        <v>-774.44993849519108</v>
      </c>
      <c r="E15" s="27">
        <v>-1363.7357171614642</v>
      </c>
      <c r="F15" s="27">
        <v>-227.03368063895761</v>
      </c>
      <c r="G15" s="27">
        <v>-498.11886547000603</v>
      </c>
      <c r="H15" s="27">
        <v>-712.73760068856768</v>
      </c>
      <c r="I15" s="27">
        <v>-313.30650185851846</v>
      </c>
      <c r="J15" s="27">
        <v>-491.89199078666036</v>
      </c>
      <c r="K15" s="27">
        <v>-170.34028788500706</v>
      </c>
      <c r="L15" s="27">
        <v>-685.56469648810753</v>
      </c>
      <c r="M15" s="27">
        <v>-584.82205592018454</v>
      </c>
      <c r="N15" s="27">
        <v>-5831.7492277434258</v>
      </c>
      <c r="O15" s="27">
        <v>-777.37429959604742</v>
      </c>
      <c r="P15" s="27">
        <v>-821.06928126094147</v>
      </c>
      <c r="Q15" s="27">
        <v>-2330.7517832734993</v>
      </c>
      <c r="R15" s="27">
        <v>-9978.8224984937933</v>
      </c>
      <c r="S15" s="27">
        <v>-2597.3167530497949</v>
      </c>
      <c r="T15" s="27">
        <v>0</v>
      </c>
    </row>
    <row r="16" spans="1:20" x14ac:dyDescent="0.25">
      <c r="A16" s="81" t="s">
        <v>185</v>
      </c>
      <c r="B16" s="20">
        <v>2013</v>
      </c>
      <c r="C16" s="102">
        <f>Calculations!$E$217</f>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row>
    <row r="17" spans="1:20" x14ac:dyDescent="0.25">
      <c r="A17" s="81" t="s">
        <v>185</v>
      </c>
      <c r="B17" s="20">
        <v>2014</v>
      </c>
      <c r="C17" s="102">
        <f>Calculations!$F$217</f>
        <v>-1124.3975992325043</v>
      </c>
      <c r="D17" s="26">
        <v>-1124.3975992325043</v>
      </c>
      <c r="E17" s="26">
        <v>-270.19101203617078</v>
      </c>
      <c r="F17" s="26">
        <v>-211.75369859265473</v>
      </c>
      <c r="G17" s="26">
        <v>-148.17575982480116</v>
      </c>
      <c r="H17" s="26">
        <v>-600.56836017104683</v>
      </c>
      <c r="I17" s="26">
        <v>-155.62893059847895</v>
      </c>
      <c r="J17" s="26">
        <v>-35.333650983443505</v>
      </c>
      <c r="K17" s="26">
        <v>-2.801314200170371</v>
      </c>
      <c r="L17" s="26">
        <v>-2542.3920189302762</v>
      </c>
      <c r="M17" s="26">
        <v>-174.84227531620323</v>
      </c>
      <c r="N17" s="26">
        <v>-1807.020170052745</v>
      </c>
      <c r="O17" s="26">
        <v>-4550.3290732233609</v>
      </c>
      <c r="P17" s="26">
        <v>-2758.6045358680412</v>
      </c>
      <c r="Q17" s="26">
        <v>-383.45273885681792</v>
      </c>
      <c r="R17" s="26">
        <v>-11.087873776759212</v>
      </c>
      <c r="S17" s="26">
        <v>-169.5016787483751</v>
      </c>
      <c r="T17" s="26">
        <v>-614.9469821393842</v>
      </c>
    </row>
    <row r="18" spans="1:20" x14ac:dyDescent="0.25">
      <c r="A18" s="81" t="s">
        <v>185</v>
      </c>
      <c r="B18" s="20">
        <v>2015</v>
      </c>
      <c r="C18" s="102">
        <f>Calculations!$G$217</f>
        <v>-659.25523792787521</v>
      </c>
      <c r="D18" s="26">
        <v>-659.25523792787521</v>
      </c>
      <c r="E18" s="26">
        <v>-467.49823235220373</v>
      </c>
      <c r="F18" s="26">
        <v>-410.98019778677309</v>
      </c>
      <c r="G18" s="26">
        <v>-37.267558132848897</v>
      </c>
      <c r="H18" s="26">
        <v>-1855.7023174944159</v>
      </c>
      <c r="I18" s="26">
        <v>-160.18736610208452</v>
      </c>
      <c r="J18" s="26">
        <v>-175.19349451395973</v>
      </c>
      <c r="K18" s="26">
        <v>-200.14727399642604</v>
      </c>
      <c r="L18" s="26">
        <v>-3803.2485025000969</v>
      </c>
      <c r="M18" s="26">
        <v>-192.28303451722417</v>
      </c>
      <c r="N18" s="26">
        <v>-1594.0492411245084</v>
      </c>
      <c r="O18" s="26">
        <v>-7616.5026455402567</v>
      </c>
      <c r="P18" s="26">
        <v>-5175.4210078507149</v>
      </c>
      <c r="Q18" s="26">
        <v>-126.85876989702119</v>
      </c>
      <c r="R18" s="26">
        <v>-110.62400227981725</v>
      </c>
      <c r="S18" s="26">
        <v>-491.47160999556672</v>
      </c>
      <c r="T18" s="26">
        <v>-1251.2532837076621</v>
      </c>
    </row>
    <row r="19" spans="1:20" x14ac:dyDescent="0.25">
      <c r="A19" s="41" t="s">
        <v>183</v>
      </c>
      <c r="B19" s="20">
        <v>2013</v>
      </c>
      <c r="C19" s="146">
        <f>Calculations!$E$218</f>
        <v>-10142.697544992689</v>
      </c>
      <c r="D19" s="27">
        <v>-10142.697544992689</v>
      </c>
      <c r="E19" s="27">
        <v>-2833.8420618547152</v>
      </c>
      <c r="F19" s="27">
        <v>-1673.6641628494892</v>
      </c>
      <c r="G19" s="27">
        <v>-30.683711760441735</v>
      </c>
      <c r="H19" s="27">
        <v>-1020.0613667696019</v>
      </c>
      <c r="I19" s="27">
        <v>-671.13300153258808</v>
      </c>
      <c r="J19" s="27">
        <v>498.54446957033514</v>
      </c>
      <c r="K19" s="27">
        <v>-311.60373181344562</v>
      </c>
      <c r="L19" s="27">
        <v>-2492.4385266927998</v>
      </c>
      <c r="M19" s="27">
        <v>-970.92981893244064</v>
      </c>
      <c r="N19" s="27">
        <v>-5356.0624029362916</v>
      </c>
      <c r="O19" s="27">
        <v>-3696.809513962663</v>
      </c>
      <c r="P19" s="27">
        <v>-6546.8628329284475</v>
      </c>
      <c r="Q19" s="27">
        <v>-8464.2036658584402</v>
      </c>
      <c r="R19" s="27">
        <v>13946.515527432693</v>
      </c>
      <c r="S19" s="27">
        <v>-7186.1276687599511</v>
      </c>
      <c r="T19" s="27">
        <v>135594.92120000001</v>
      </c>
    </row>
    <row r="20" spans="1:20" x14ac:dyDescent="0.25">
      <c r="A20" s="41" t="s">
        <v>183</v>
      </c>
      <c r="B20" s="20">
        <v>2014</v>
      </c>
      <c r="C20" s="146">
        <f>Calculations!$F$218</f>
        <v>0</v>
      </c>
      <c r="D20" s="147">
        <v>0</v>
      </c>
      <c r="E20" s="147">
        <v>0</v>
      </c>
      <c r="F20" s="147">
        <v>0</v>
      </c>
      <c r="G20" s="147">
        <v>0</v>
      </c>
      <c r="H20" s="147">
        <v>0</v>
      </c>
      <c r="I20" s="147">
        <v>0</v>
      </c>
      <c r="J20" s="147">
        <v>0</v>
      </c>
      <c r="K20" s="147">
        <v>0</v>
      </c>
      <c r="L20" s="147">
        <v>0</v>
      </c>
      <c r="M20" s="147">
        <v>0</v>
      </c>
      <c r="N20" s="147">
        <v>0</v>
      </c>
      <c r="O20" s="147">
        <v>0</v>
      </c>
      <c r="P20" s="147">
        <v>0</v>
      </c>
      <c r="Q20" s="147">
        <v>0</v>
      </c>
      <c r="R20" s="147">
        <v>0</v>
      </c>
      <c r="S20" s="147">
        <v>0</v>
      </c>
      <c r="T20" s="147">
        <v>0</v>
      </c>
    </row>
    <row r="21" spans="1:20" x14ac:dyDescent="0.25">
      <c r="A21" s="41" t="s">
        <v>183</v>
      </c>
      <c r="B21" s="20">
        <v>2015</v>
      </c>
      <c r="C21" s="146">
        <f>Calculations!$G$218</f>
        <v>0</v>
      </c>
      <c r="D21" s="147">
        <v>0</v>
      </c>
      <c r="E21" s="147">
        <v>0</v>
      </c>
      <c r="F21" s="147">
        <v>0</v>
      </c>
      <c r="G21" s="147">
        <v>0</v>
      </c>
      <c r="H21" s="147">
        <v>0</v>
      </c>
      <c r="I21" s="147">
        <v>0</v>
      </c>
      <c r="J21" s="147">
        <v>0</v>
      </c>
      <c r="K21" s="147">
        <v>0</v>
      </c>
      <c r="L21" s="147">
        <v>0</v>
      </c>
      <c r="M21" s="147">
        <v>0</v>
      </c>
      <c r="N21" s="147">
        <v>0</v>
      </c>
      <c r="O21" s="147">
        <v>0</v>
      </c>
      <c r="P21" s="147">
        <v>0</v>
      </c>
      <c r="Q21" s="147">
        <v>0</v>
      </c>
      <c r="R21" s="147">
        <v>0</v>
      </c>
      <c r="S21" s="147">
        <v>0</v>
      </c>
      <c r="T21" s="147">
        <v>0</v>
      </c>
    </row>
    <row r="22" spans="1:20" x14ac:dyDescent="0.25">
      <c r="A22" s="41" t="s">
        <v>186</v>
      </c>
      <c r="B22" s="20">
        <v>2013</v>
      </c>
      <c r="C22" s="102">
        <f>Calculations!$E$219</f>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row>
    <row r="23" spans="1:20" x14ac:dyDescent="0.25">
      <c r="A23" s="41" t="s">
        <v>186</v>
      </c>
      <c r="B23" s="20">
        <v>2014</v>
      </c>
      <c r="C23" s="102">
        <f>Calculations!$F$219</f>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row>
    <row r="24" spans="1:20" x14ac:dyDescent="0.25">
      <c r="A24" s="41" t="s">
        <v>186</v>
      </c>
      <c r="B24" s="20">
        <v>2015</v>
      </c>
      <c r="C24" s="102">
        <f>Calculations!$G$219</f>
        <v>11297.291934335772</v>
      </c>
      <c r="D24" s="26">
        <v>11297.291934335772</v>
      </c>
      <c r="E24" s="26">
        <v>415.93299999999749</v>
      </c>
      <c r="F24" s="26">
        <v>1864.1857911932343</v>
      </c>
      <c r="G24" s="26">
        <v>34.377000000000798</v>
      </c>
      <c r="H24" s="26">
        <v>1142.463999999997</v>
      </c>
      <c r="I24" s="26">
        <v>761.91965999999968</v>
      </c>
      <c r="J24" s="26">
        <v>-661.99600000000009</v>
      </c>
      <c r="K24" s="26">
        <v>344.44599999999991</v>
      </c>
      <c r="L24" s="26">
        <v>2792.6850000000018</v>
      </c>
      <c r="M24" s="26">
        <v>1098.8959999999981</v>
      </c>
      <c r="N24" s="26">
        <v>6000.0000000000118</v>
      </c>
      <c r="O24" s="26">
        <v>0</v>
      </c>
      <c r="P24" s="26">
        <v>7290.284055322968</v>
      </c>
      <c r="Q24" s="26">
        <v>9427.5573329810359</v>
      </c>
      <c r="R24" s="26">
        <v>-15780.263000000014</v>
      </c>
      <c r="S24" s="26">
        <v>8051.0000000000018</v>
      </c>
      <c r="T24" s="26">
        <v>439.90999999999968</v>
      </c>
    </row>
    <row r="25" spans="1:20" x14ac:dyDescent="0.25">
      <c r="A25" s="41" t="s">
        <v>187</v>
      </c>
      <c r="B25" s="20">
        <v>2013</v>
      </c>
      <c r="C25" s="102">
        <f>Calculations!$E$220</f>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row>
    <row r="26" spans="1:20" x14ac:dyDescent="0.25">
      <c r="A26" s="41" t="s">
        <v>187</v>
      </c>
      <c r="B26" s="20">
        <v>2014</v>
      </c>
      <c r="C26" s="102">
        <f>Calculations!$F$220</f>
        <v>-5552.2801201565217</v>
      </c>
      <c r="D26" s="26">
        <v>-5552.2801201565217</v>
      </c>
      <c r="E26" s="26">
        <v>0</v>
      </c>
      <c r="F26" s="26">
        <v>-498.95595361126084</v>
      </c>
      <c r="G26" s="26">
        <v>0</v>
      </c>
      <c r="H26" s="26">
        <v>0</v>
      </c>
      <c r="I26" s="26">
        <v>0</v>
      </c>
      <c r="J26" s="26">
        <v>0</v>
      </c>
      <c r="K26" s="26">
        <v>0</v>
      </c>
      <c r="L26" s="26">
        <v>0</v>
      </c>
      <c r="M26" s="26">
        <v>0</v>
      </c>
      <c r="N26" s="26">
        <v>0</v>
      </c>
      <c r="O26" s="26">
        <v>-1279.2669312082437</v>
      </c>
      <c r="P26" s="26">
        <v>-1248.1631782403335</v>
      </c>
      <c r="Q26" s="26">
        <v>0</v>
      </c>
      <c r="R26" s="26">
        <v>0</v>
      </c>
      <c r="S26" s="26">
        <v>0</v>
      </c>
      <c r="T26" s="26">
        <v>0</v>
      </c>
    </row>
    <row r="27" spans="1:20" x14ac:dyDescent="0.25">
      <c r="A27" s="41" t="s">
        <v>187</v>
      </c>
      <c r="B27" s="20">
        <v>2015</v>
      </c>
      <c r="C27" s="102">
        <f>Calculations!$G$220</f>
        <v>-6277.090644253456</v>
      </c>
      <c r="D27" s="26">
        <v>-6277.090644253456</v>
      </c>
      <c r="E27" s="26">
        <v>0</v>
      </c>
      <c r="F27" s="26">
        <v>-559.58591314036653</v>
      </c>
      <c r="G27" s="26">
        <v>0</v>
      </c>
      <c r="H27" s="26">
        <v>0</v>
      </c>
      <c r="I27" s="26">
        <v>0</v>
      </c>
      <c r="J27" s="26">
        <v>0</v>
      </c>
      <c r="K27" s="26">
        <v>0</v>
      </c>
      <c r="L27" s="26">
        <v>0</v>
      </c>
      <c r="M27" s="26">
        <v>0</v>
      </c>
      <c r="N27" s="26">
        <v>0</v>
      </c>
      <c r="O27" s="26">
        <v>-1437.6963760773417</v>
      </c>
      <c r="P27" s="26">
        <v>-1407.7293289913575</v>
      </c>
      <c r="Q27" s="26">
        <v>0</v>
      </c>
      <c r="R27" s="26">
        <v>0</v>
      </c>
      <c r="S27" s="26">
        <v>0</v>
      </c>
      <c r="T27" s="26">
        <v>0</v>
      </c>
    </row>
    <row r="28" spans="1:20" x14ac:dyDescent="0.25">
      <c r="A28" s="41" t="s">
        <v>188</v>
      </c>
      <c r="B28" s="20">
        <v>2013</v>
      </c>
      <c r="C28" s="102">
        <f>Calculations!$E$221</f>
        <v>0</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row>
    <row r="29" spans="1:20" x14ac:dyDescent="0.25">
      <c r="A29" s="41" t="s">
        <v>188</v>
      </c>
      <c r="B29" s="20">
        <v>2014</v>
      </c>
      <c r="C29" s="102">
        <f>Calculations!$F$221</f>
        <v>0</v>
      </c>
      <c r="D29" s="26">
        <v>0</v>
      </c>
      <c r="E29" s="26">
        <v>0</v>
      </c>
      <c r="F29" s="26">
        <v>0</v>
      </c>
      <c r="G29" s="26">
        <v>0</v>
      </c>
      <c r="H29" s="26">
        <v>0</v>
      </c>
      <c r="I29" s="26">
        <v>0</v>
      </c>
      <c r="J29" s="26">
        <v>0</v>
      </c>
      <c r="K29" s="26">
        <v>0</v>
      </c>
      <c r="L29" s="26">
        <v>0</v>
      </c>
      <c r="M29" s="26">
        <v>0</v>
      </c>
      <c r="N29" s="26">
        <v>0</v>
      </c>
      <c r="O29" s="26">
        <v>0</v>
      </c>
      <c r="P29" s="26">
        <v>0</v>
      </c>
      <c r="Q29" s="26">
        <v>0</v>
      </c>
      <c r="R29" s="26">
        <v>0</v>
      </c>
      <c r="S29" s="26">
        <v>0</v>
      </c>
      <c r="T29" s="26">
        <v>0</v>
      </c>
    </row>
    <row r="30" spans="1:20" x14ac:dyDescent="0.25">
      <c r="A30" s="41" t="s">
        <v>188</v>
      </c>
      <c r="B30" s="20">
        <v>2015</v>
      </c>
      <c r="C30" s="102">
        <f>Calculations!$G$221</f>
        <v>12084.453300638084</v>
      </c>
      <c r="D30" s="26">
        <v>12084.453300638084</v>
      </c>
      <c r="E30" s="26">
        <v>0</v>
      </c>
      <c r="F30" s="26">
        <v>1081.490513257588</v>
      </c>
      <c r="G30" s="26">
        <v>0</v>
      </c>
      <c r="H30" s="26">
        <v>0</v>
      </c>
      <c r="I30" s="26">
        <v>0</v>
      </c>
      <c r="J30" s="26">
        <v>0</v>
      </c>
      <c r="K30" s="26">
        <v>0</v>
      </c>
      <c r="L30" s="26">
        <v>0</v>
      </c>
      <c r="M30" s="26">
        <v>0</v>
      </c>
      <c r="N30" s="26">
        <v>0</v>
      </c>
      <c r="O30" s="26">
        <v>0</v>
      </c>
      <c r="P30" s="26">
        <v>2713.2547435922293</v>
      </c>
      <c r="Q30" s="26">
        <v>0</v>
      </c>
      <c r="R30" s="26">
        <v>0</v>
      </c>
      <c r="S30" s="26">
        <v>0</v>
      </c>
      <c r="T30" s="26">
        <v>0</v>
      </c>
    </row>
    <row r="31" spans="1:20" x14ac:dyDescent="0.25">
      <c r="A31" s="41" t="s">
        <v>212</v>
      </c>
      <c r="B31" s="20">
        <v>2013</v>
      </c>
      <c r="C31" s="102">
        <f>Calculations!$E$222</f>
        <v>0</v>
      </c>
      <c r="D31" s="26">
        <v>0</v>
      </c>
      <c r="E31" s="26">
        <v>0</v>
      </c>
      <c r="F31" s="26">
        <v>0</v>
      </c>
      <c r="G31" s="26">
        <v>0</v>
      </c>
      <c r="H31" s="26">
        <v>0</v>
      </c>
      <c r="I31" s="26">
        <v>0</v>
      </c>
      <c r="J31" s="26">
        <v>0</v>
      </c>
      <c r="K31" s="26">
        <v>0</v>
      </c>
      <c r="L31" s="26">
        <v>0</v>
      </c>
      <c r="M31" s="26">
        <v>0</v>
      </c>
      <c r="N31" s="26">
        <v>304.99999999998715</v>
      </c>
      <c r="O31" s="26">
        <v>0</v>
      </c>
      <c r="P31" s="26">
        <v>1571.7559999999983</v>
      </c>
      <c r="Q31" s="26">
        <v>134.999999999995</v>
      </c>
      <c r="R31" s="26">
        <v>0</v>
      </c>
      <c r="S31" s="26">
        <v>0</v>
      </c>
      <c r="T31" s="26">
        <v>0</v>
      </c>
    </row>
    <row r="32" spans="1:20" x14ac:dyDescent="0.25">
      <c r="A32" s="41" t="s">
        <v>212</v>
      </c>
      <c r="B32" s="20">
        <v>2014</v>
      </c>
      <c r="C32" s="102">
        <f>Calculations!$F$222</f>
        <v>0</v>
      </c>
      <c r="D32" s="26">
        <v>0</v>
      </c>
      <c r="E32" s="26">
        <v>0</v>
      </c>
      <c r="F32" s="26">
        <v>0</v>
      </c>
      <c r="G32" s="26">
        <v>0</v>
      </c>
      <c r="H32" s="26">
        <v>0</v>
      </c>
      <c r="I32" s="26">
        <v>0</v>
      </c>
      <c r="J32" s="26">
        <v>0</v>
      </c>
      <c r="K32" s="26">
        <v>0</v>
      </c>
      <c r="L32" s="26">
        <v>0</v>
      </c>
      <c r="M32" s="26">
        <v>0</v>
      </c>
      <c r="N32" s="26">
        <v>304.99999999998715</v>
      </c>
      <c r="O32" s="26">
        <v>0</v>
      </c>
      <c r="P32" s="26">
        <v>1711.0690000000013</v>
      </c>
      <c r="Q32" s="26">
        <v>229.00000000000057</v>
      </c>
      <c r="R32" s="26">
        <v>0</v>
      </c>
      <c r="S32" s="26">
        <v>0</v>
      </c>
      <c r="T32" s="26">
        <v>0</v>
      </c>
    </row>
    <row r="33" spans="1:20" x14ac:dyDescent="0.25">
      <c r="A33" s="41" t="s">
        <v>212</v>
      </c>
      <c r="B33" s="20">
        <v>2015</v>
      </c>
      <c r="C33" s="102">
        <f>Calculations!$G$222</f>
        <v>0</v>
      </c>
      <c r="D33" s="26">
        <v>0</v>
      </c>
      <c r="E33" s="26">
        <v>0</v>
      </c>
      <c r="F33" s="26">
        <v>0</v>
      </c>
      <c r="G33" s="26">
        <v>0</v>
      </c>
      <c r="H33" s="26">
        <v>0</v>
      </c>
      <c r="I33" s="26">
        <v>0</v>
      </c>
      <c r="J33" s="26">
        <v>0</v>
      </c>
      <c r="K33" s="26">
        <v>0</v>
      </c>
      <c r="L33" s="26">
        <v>0</v>
      </c>
      <c r="M33" s="26">
        <v>1284.6099999999997</v>
      </c>
      <c r="N33" s="26">
        <v>305.00000000001529</v>
      </c>
      <c r="O33" s="26">
        <v>0</v>
      </c>
      <c r="P33" s="26">
        <v>1893.1299000000015</v>
      </c>
      <c r="Q33" s="26">
        <v>306.99999999999864</v>
      </c>
      <c r="R33" s="26">
        <v>0</v>
      </c>
      <c r="S33" s="26">
        <v>0</v>
      </c>
      <c r="T33" s="26">
        <v>3200.5499999999988</v>
      </c>
    </row>
    <row r="34" spans="1:20" x14ac:dyDescent="0.25">
      <c r="A34" s="41" t="s">
        <v>191</v>
      </c>
      <c r="B34" s="20">
        <v>2013</v>
      </c>
      <c r="C34" s="102">
        <f>Calculations!$E$223</f>
        <v>21.901472477095467</v>
      </c>
      <c r="D34" s="26">
        <v>21.901472477095467</v>
      </c>
      <c r="E34" s="26">
        <v>2339.3936336176539</v>
      </c>
      <c r="F34" s="26">
        <v>210.55138405704722</v>
      </c>
      <c r="G34" s="26">
        <v>-3.0725647980220105</v>
      </c>
      <c r="H34" s="26">
        <v>-160.0095645862381</v>
      </c>
      <c r="I34" s="26">
        <v>-34.124937354249575</v>
      </c>
      <c r="J34" s="26">
        <v>-66.83344431011642</v>
      </c>
      <c r="K34" s="26">
        <v>289.45400000000041</v>
      </c>
      <c r="L34" s="26">
        <v>1247.5203780113238</v>
      </c>
      <c r="M34" s="26">
        <v>888.49745246114082</v>
      </c>
      <c r="N34" s="26">
        <v>127.09778975062139</v>
      </c>
      <c r="O34" s="26">
        <v>-46.380688248422373</v>
      </c>
      <c r="P34" s="26">
        <v>740.39752782608593</v>
      </c>
      <c r="Q34" s="26">
        <v>430.93117155699315</v>
      </c>
      <c r="R34" s="26">
        <v>-1165.8593125769225</v>
      </c>
      <c r="S34" s="26">
        <v>204.30015566957263</v>
      </c>
      <c r="T34" s="26">
        <v>4195.2206016408454</v>
      </c>
    </row>
    <row r="35" spans="1:20" x14ac:dyDescent="0.25">
      <c r="A35" s="41" t="s">
        <v>191</v>
      </c>
      <c r="B35" s="20">
        <v>2014</v>
      </c>
      <c r="C35" s="102">
        <f>Calculations!$F$223</f>
        <v>19.870422090611743</v>
      </c>
      <c r="D35" s="26">
        <v>19.870422090611743</v>
      </c>
      <c r="E35" s="26">
        <v>2563.8816220615126</v>
      </c>
      <c r="F35" s="26">
        <v>78.100395926411636</v>
      </c>
      <c r="G35" s="26">
        <v>-154.13959313621248</v>
      </c>
      <c r="H35" s="26">
        <v>177.44849376286555</v>
      </c>
      <c r="I35" s="26">
        <v>-54.043470421287303</v>
      </c>
      <c r="J35" s="26">
        <v>276.46462148691933</v>
      </c>
      <c r="K35" s="26">
        <v>51.000000000000277</v>
      </c>
      <c r="L35" s="26">
        <v>-60.99951402391887</v>
      </c>
      <c r="M35" s="26">
        <v>220.16640225159281</v>
      </c>
      <c r="N35" s="26">
        <v>310.58359037909281</v>
      </c>
      <c r="O35" s="26">
        <v>-47.202624495866502</v>
      </c>
      <c r="P35" s="26">
        <v>541.07921043478404</v>
      </c>
      <c r="Q35" s="26">
        <v>371.99165307825109</v>
      </c>
      <c r="R35" s="26">
        <v>-3814.4441611542939</v>
      </c>
      <c r="S35" s="26">
        <v>50.315794428270479</v>
      </c>
      <c r="T35" s="26">
        <v>3046.5232452142209</v>
      </c>
    </row>
    <row r="36" spans="1:20" x14ac:dyDescent="0.25">
      <c r="A36" s="41" t="s">
        <v>191</v>
      </c>
      <c r="B36" s="20">
        <v>2015</v>
      </c>
      <c r="C36" s="102">
        <f>Calculations!$G$223</f>
        <v>-2.7168050913527875</v>
      </c>
      <c r="D36" s="26">
        <v>-2.7168050913527875</v>
      </c>
      <c r="E36" s="26">
        <v>1956.5322733199887</v>
      </c>
      <c r="F36" s="26">
        <v>59.499078418899273</v>
      </c>
      <c r="G36" s="26">
        <v>-198.34465425380276</v>
      </c>
      <c r="H36" s="26">
        <v>234.05923822833353</v>
      </c>
      <c r="I36" s="26">
        <v>-56.221514510669699</v>
      </c>
      <c r="J36" s="26">
        <v>80.566362549630995</v>
      </c>
      <c r="K36" s="26">
        <v>68.437260000000308</v>
      </c>
      <c r="L36" s="26">
        <v>-229.35937007090931</v>
      </c>
      <c r="M36" s="26">
        <v>331.46400197219066</v>
      </c>
      <c r="N36" s="26">
        <v>297.60177621710449</v>
      </c>
      <c r="O36" s="26">
        <v>-48.298539492455156</v>
      </c>
      <c r="P36" s="26">
        <v>512.61899000000074</v>
      </c>
      <c r="Q36" s="26">
        <v>897.73152177327927</v>
      </c>
      <c r="R36" s="26">
        <v>-7370.8906259240384</v>
      </c>
      <c r="S36" s="26">
        <v>177.51013277321417</v>
      </c>
      <c r="T36" s="26">
        <v>32977.119436645393</v>
      </c>
    </row>
    <row r="37" spans="1:20" x14ac:dyDescent="0.25">
      <c r="A37" s="41" t="s">
        <v>192</v>
      </c>
      <c r="B37" s="20">
        <v>2013</v>
      </c>
      <c r="C37" s="102">
        <f>Calculations!$E$225</f>
        <v>0</v>
      </c>
      <c r="D37" s="26">
        <v>0</v>
      </c>
      <c r="E37" s="26">
        <v>0</v>
      </c>
      <c r="F37" s="26">
        <v>0</v>
      </c>
      <c r="G37" s="26">
        <v>0</v>
      </c>
      <c r="H37" s="26">
        <v>0</v>
      </c>
      <c r="I37" s="26">
        <v>0</v>
      </c>
      <c r="J37" s="26">
        <v>0</v>
      </c>
      <c r="K37" s="26">
        <v>0</v>
      </c>
      <c r="L37" s="26">
        <v>0</v>
      </c>
      <c r="M37" s="26">
        <v>0</v>
      </c>
      <c r="N37" s="26">
        <v>0</v>
      </c>
      <c r="O37" s="26">
        <v>0</v>
      </c>
      <c r="P37" s="26">
        <v>3.5160615044780573E-12</v>
      </c>
      <c r="Q37" s="26">
        <v>0</v>
      </c>
      <c r="R37" s="26">
        <v>0</v>
      </c>
      <c r="S37" s="26">
        <v>0</v>
      </c>
      <c r="T37" s="26">
        <v>-2.8128492035824458E-11</v>
      </c>
    </row>
    <row r="38" spans="1:20" x14ac:dyDescent="0.25">
      <c r="A38" s="41" t="s">
        <v>192</v>
      </c>
      <c r="B38" s="20">
        <v>2014</v>
      </c>
      <c r="C38" s="102">
        <f>Calculations!$F$225</f>
        <v>3.7536561789766871</v>
      </c>
      <c r="D38" s="26">
        <v>3.7536561789766871</v>
      </c>
      <c r="E38" s="26">
        <v>0.53316962871986573</v>
      </c>
      <c r="F38" s="26">
        <v>-1.5460745187890859</v>
      </c>
      <c r="G38" s="26">
        <v>0.8504466594882697</v>
      </c>
      <c r="H38" s="26">
        <v>0.55068585411914761</v>
      </c>
      <c r="I38" s="26">
        <v>0.90672208977142377</v>
      </c>
      <c r="J38" s="26">
        <v>0.58793432536302148</v>
      </c>
      <c r="K38" s="26">
        <v>0.9051824994762373</v>
      </c>
      <c r="L38" s="26">
        <v>0.94455671564724952</v>
      </c>
      <c r="M38" s="26">
        <v>0.26980008014647727</v>
      </c>
      <c r="N38" s="26">
        <v>1.3421212094162981E-2</v>
      </c>
      <c r="O38" s="26">
        <v>-45.212908156309346</v>
      </c>
      <c r="P38" s="26">
        <v>10.152484900193258</v>
      </c>
      <c r="Q38" s="26">
        <v>0.55979935064505515</v>
      </c>
      <c r="R38" s="26">
        <v>0.4346913009939945</v>
      </c>
      <c r="S38" s="26">
        <v>6.2018182403693466E-2</v>
      </c>
      <c r="T38" s="26">
        <v>139602.69169931556</v>
      </c>
    </row>
    <row r="39" spans="1:20" x14ac:dyDescent="0.25">
      <c r="A39" s="41" t="s">
        <v>192</v>
      </c>
      <c r="B39" s="20">
        <v>2015</v>
      </c>
      <c r="C39" s="102">
        <f>Calculations!$G$225</f>
        <v>9.052240220011063</v>
      </c>
      <c r="D39" s="26">
        <v>9.052240220011063</v>
      </c>
      <c r="E39" s="26">
        <v>0.54180149097435693</v>
      </c>
      <c r="F39" s="26">
        <v>-3.6987036446552768</v>
      </c>
      <c r="G39" s="26">
        <v>0.85672580973361845</v>
      </c>
      <c r="H39" s="26">
        <v>0.56489263812357637</v>
      </c>
      <c r="I39" s="26">
        <v>0.91442725698173399</v>
      </c>
      <c r="J39" s="26">
        <v>0.59323113783957848</v>
      </c>
      <c r="K39" s="26">
        <v>0.91874972847035241</v>
      </c>
      <c r="L39" s="26">
        <v>0.95937270996386614</v>
      </c>
      <c r="M39" s="26">
        <v>0.27322326054749468</v>
      </c>
      <c r="N39" s="26">
        <v>1.3619742512767466E-2</v>
      </c>
      <c r="O39" s="26">
        <v>-108.38844742364643</v>
      </c>
      <c r="P39" s="26">
        <v>24.425006803478304</v>
      </c>
      <c r="Q39" s="26">
        <v>0.61072298291409721</v>
      </c>
      <c r="R39" s="26">
        <v>0.44622601883770702</v>
      </c>
      <c r="S39" s="26">
        <v>6.3123521047222075E-2</v>
      </c>
      <c r="T39" s="26">
        <v>140950.4971330142</v>
      </c>
    </row>
    <row r="40" spans="1:20" x14ac:dyDescent="0.25">
      <c r="A40" s="41"/>
      <c r="B40" s="162"/>
      <c r="C40" s="102"/>
      <c r="D40" s="160">
        <v>0</v>
      </c>
      <c r="E40" s="160">
        <v>0</v>
      </c>
      <c r="F40" s="160">
        <v>0</v>
      </c>
      <c r="G40" s="160">
        <v>0</v>
      </c>
      <c r="H40" s="160">
        <v>0</v>
      </c>
      <c r="I40" s="160">
        <v>0</v>
      </c>
      <c r="J40" s="160">
        <v>0</v>
      </c>
      <c r="K40" s="160">
        <v>0</v>
      </c>
      <c r="L40" s="160">
        <v>0</v>
      </c>
      <c r="M40" s="160">
        <v>0</v>
      </c>
      <c r="N40" s="160">
        <v>0</v>
      </c>
      <c r="O40" s="160">
        <v>0</v>
      </c>
      <c r="P40" s="160">
        <v>0</v>
      </c>
      <c r="Q40" s="160">
        <v>0</v>
      </c>
      <c r="R40" s="160">
        <v>0</v>
      </c>
      <c r="S40" s="160">
        <v>0</v>
      </c>
      <c r="T40" s="160">
        <v>0</v>
      </c>
    </row>
    <row r="41" spans="1:20" ht="23.25" x14ac:dyDescent="0.35">
      <c r="A41" s="134"/>
      <c r="B41" s="162"/>
      <c r="C41" s="102"/>
      <c r="D41" s="160">
        <v>0</v>
      </c>
      <c r="E41" s="160">
        <v>0</v>
      </c>
      <c r="F41" s="160">
        <v>0</v>
      </c>
      <c r="G41" s="160">
        <v>0</v>
      </c>
      <c r="H41" s="160">
        <v>0</v>
      </c>
      <c r="I41" s="160">
        <v>0</v>
      </c>
      <c r="J41" s="160">
        <v>0</v>
      </c>
      <c r="K41" s="160">
        <v>0</v>
      </c>
      <c r="L41" s="160">
        <v>0</v>
      </c>
      <c r="M41" s="160">
        <v>0</v>
      </c>
      <c r="N41" s="160">
        <v>0</v>
      </c>
      <c r="O41" s="160">
        <v>0</v>
      </c>
      <c r="P41" s="160">
        <v>0</v>
      </c>
      <c r="Q41" s="160">
        <v>0</v>
      </c>
      <c r="R41" s="160">
        <v>0</v>
      </c>
      <c r="S41" s="160">
        <v>0</v>
      </c>
      <c r="T41" s="160">
        <v>0</v>
      </c>
    </row>
    <row r="42" spans="1:20" ht="33.75" customHeight="1" x14ac:dyDescent="0.35">
      <c r="A42" s="134" t="s">
        <v>234</v>
      </c>
      <c r="B42" s="162"/>
      <c r="C42" s="102"/>
      <c r="D42" s="160">
        <v>0</v>
      </c>
      <c r="E42" s="160">
        <v>0</v>
      </c>
      <c r="F42" s="160">
        <v>0</v>
      </c>
      <c r="G42" s="160">
        <v>0</v>
      </c>
      <c r="H42" s="160">
        <v>0</v>
      </c>
      <c r="I42" s="160">
        <v>0</v>
      </c>
      <c r="J42" s="160">
        <v>0</v>
      </c>
      <c r="K42" s="160">
        <v>0</v>
      </c>
      <c r="L42" s="160">
        <v>0</v>
      </c>
      <c r="M42" s="160">
        <v>0</v>
      </c>
      <c r="N42" s="160">
        <v>0</v>
      </c>
      <c r="O42" s="160">
        <v>0</v>
      </c>
      <c r="P42" s="160">
        <v>0</v>
      </c>
      <c r="Q42" s="160">
        <v>0</v>
      </c>
      <c r="R42" s="160">
        <v>0</v>
      </c>
      <c r="S42" s="160">
        <v>0</v>
      </c>
      <c r="T42" s="160">
        <v>0</v>
      </c>
    </row>
    <row r="43" spans="1:20" x14ac:dyDescent="0.25">
      <c r="A43" s="72" t="str">
        <f>Calculations!A179</f>
        <v>Revenue equivalent to expected return of 8.77% incl. ORI incl. gains/losses on disposal</v>
      </c>
      <c r="B43" s="20">
        <v>2013</v>
      </c>
      <c r="C43" s="102">
        <f>Calculations!E179</f>
        <v>37535.291683008123</v>
      </c>
      <c r="D43" s="26">
        <v>37535.291683008123</v>
      </c>
      <c r="E43" s="26">
        <v>59071.059816096029</v>
      </c>
      <c r="F43" s="26">
        <v>9990.7510543034987</v>
      </c>
      <c r="G43" s="26">
        <v>22116.536796320022</v>
      </c>
      <c r="H43" s="26">
        <v>30451.006221955497</v>
      </c>
      <c r="I43" s="26">
        <v>13717.463562018125</v>
      </c>
      <c r="J43" s="26">
        <v>21480.469024088765</v>
      </c>
      <c r="K43" s="26">
        <v>7311.7187785174992</v>
      </c>
      <c r="L43" s="26">
        <v>29709.199046759215</v>
      </c>
      <c r="M43" s="26">
        <v>25557.059785390236</v>
      </c>
      <c r="N43" s="26">
        <v>250506.67516082092</v>
      </c>
      <c r="O43" s="26">
        <v>33575.753240908991</v>
      </c>
      <c r="P43" s="26">
        <v>35060.971205693255</v>
      </c>
      <c r="Q43" s="26">
        <v>97458.418110372004</v>
      </c>
      <c r="R43" s="26">
        <v>426258.26990462322</v>
      </c>
      <c r="S43" s="26">
        <v>111358.20782571642</v>
      </c>
      <c r="T43" s="26">
        <v>-309.59589473284666</v>
      </c>
    </row>
    <row r="44" spans="1:20" x14ac:dyDescent="0.25">
      <c r="A44" s="72" t="str">
        <f>Calculations!A180</f>
        <v>Billed quantities (Delta D)</v>
      </c>
      <c r="B44" s="20">
        <v>2013</v>
      </c>
      <c r="C44" s="102">
        <f>Calculations!E180</f>
        <v>37535.291683008123</v>
      </c>
      <c r="D44" s="26">
        <v>37535.291683008123</v>
      </c>
      <c r="E44" s="26">
        <v>59071.059816096029</v>
      </c>
      <c r="F44" s="26">
        <v>9990.7510543034987</v>
      </c>
      <c r="G44" s="26">
        <v>22116.536796320022</v>
      </c>
      <c r="H44" s="26">
        <v>30451.006221955497</v>
      </c>
      <c r="I44" s="26">
        <v>13717.463562018125</v>
      </c>
      <c r="J44" s="26">
        <v>21480.469024088765</v>
      </c>
      <c r="K44" s="26">
        <v>7311.7187785174992</v>
      </c>
      <c r="L44" s="26">
        <v>29709.199046759215</v>
      </c>
      <c r="M44" s="26">
        <v>25557.059785390236</v>
      </c>
      <c r="N44" s="26">
        <v>250506.67516082092</v>
      </c>
      <c r="O44" s="26">
        <v>33575.753240908991</v>
      </c>
      <c r="P44" s="26">
        <v>35060.971205693255</v>
      </c>
      <c r="Q44" s="26">
        <v>97458.418110372004</v>
      </c>
      <c r="R44" s="26">
        <v>426258.26990462322</v>
      </c>
      <c r="S44" s="26">
        <v>111358.20782571642</v>
      </c>
      <c r="T44" s="26">
        <v>-309.59589473284666</v>
      </c>
    </row>
    <row r="45" spans="1:20" x14ac:dyDescent="0.25">
      <c r="A45" s="72" t="str">
        <f>Calculations!A181</f>
        <v>Billed quantities (CPRG)</v>
      </c>
      <c r="B45" s="20">
        <v>2013</v>
      </c>
      <c r="C45" s="102">
        <f>Calculations!E181</f>
        <v>37535.291683008123</v>
      </c>
      <c r="D45" s="26">
        <v>37535.291683008123</v>
      </c>
      <c r="E45" s="26">
        <v>59071.059816096029</v>
      </c>
      <c r="F45" s="26">
        <v>9990.7510543034987</v>
      </c>
      <c r="G45" s="26">
        <v>22116.536796320022</v>
      </c>
      <c r="H45" s="26">
        <v>30451.006221955497</v>
      </c>
      <c r="I45" s="26">
        <v>13717.463562018125</v>
      </c>
      <c r="J45" s="26">
        <v>21480.469024088765</v>
      </c>
      <c r="K45" s="26">
        <v>7311.7187785174992</v>
      </c>
      <c r="L45" s="26">
        <v>29709.199046759215</v>
      </c>
      <c r="M45" s="26">
        <v>25557.059785390236</v>
      </c>
      <c r="N45" s="26">
        <v>250506.67516082092</v>
      </c>
      <c r="O45" s="26">
        <v>33575.753240908991</v>
      </c>
      <c r="P45" s="26">
        <v>35060.971205693255</v>
      </c>
      <c r="Q45" s="26">
        <v>97458.418110372004</v>
      </c>
      <c r="R45" s="26">
        <v>426258.26990462322</v>
      </c>
      <c r="S45" s="26">
        <v>111358.20782571642</v>
      </c>
      <c r="T45" s="26">
        <v>-309.59589473284666</v>
      </c>
    </row>
    <row r="46" spans="1:20" x14ac:dyDescent="0.25">
      <c r="A46" s="72" t="str">
        <f>Calculations!A182</f>
        <v>Inflation indexation</v>
      </c>
      <c r="B46" s="20">
        <v>2013</v>
      </c>
      <c r="C46" s="102">
        <f>Calculations!E182</f>
        <v>37535.291683008123</v>
      </c>
      <c r="D46" s="26">
        <v>37535.291683008123</v>
      </c>
      <c r="E46" s="26">
        <v>59071.059816096029</v>
      </c>
      <c r="F46" s="26">
        <v>9990.7510543034987</v>
      </c>
      <c r="G46" s="26">
        <v>22116.536796320022</v>
      </c>
      <c r="H46" s="26">
        <v>30451.006221955497</v>
      </c>
      <c r="I46" s="26">
        <v>13717.463562018125</v>
      </c>
      <c r="J46" s="26">
        <v>21480.469024088765</v>
      </c>
      <c r="K46" s="26">
        <v>7311.7187785174992</v>
      </c>
      <c r="L46" s="26">
        <v>29709.199046759215</v>
      </c>
      <c r="M46" s="26">
        <v>25557.059785390236</v>
      </c>
      <c r="N46" s="26">
        <v>250506.67516082092</v>
      </c>
      <c r="O46" s="26">
        <v>33575.753240908991</v>
      </c>
      <c r="P46" s="26">
        <v>35060.971205693255</v>
      </c>
      <c r="Q46" s="26">
        <v>97458.418110372004</v>
      </c>
      <c r="R46" s="26">
        <v>426258.26990462322</v>
      </c>
      <c r="S46" s="26">
        <v>111358.20782571642</v>
      </c>
      <c r="T46" s="26">
        <v>-309.59589473284666</v>
      </c>
    </row>
    <row r="47" spans="1:20" x14ac:dyDescent="0.25">
      <c r="A47" s="72" t="str">
        <f>Calculations!A183</f>
        <v>Pricing beneath limit</v>
      </c>
      <c r="B47" s="20">
        <v>2013</v>
      </c>
      <c r="C47" s="102">
        <f>Calculations!E183</f>
        <v>37535.291683008123</v>
      </c>
      <c r="D47" s="26">
        <v>37535.291683008123</v>
      </c>
      <c r="E47" s="26">
        <v>59071.059816096029</v>
      </c>
      <c r="F47" s="26">
        <v>9990.7510543034987</v>
      </c>
      <c r="G47" s="26">
        <v>22116.536796320022</v>
      </c>
      <c r="H47" s="26">
        <v>30451.006221955497</v>
      </c>
      <c r="I47" s="26">
        <v>13717.463562018125</v>
      </c>
      <c r="J47" s="26">
        <v>21480.469024088765</v>
      </c>
      <c r="K47" s="26">
        <v>7311.7187785174992</v>
      </c>
      <c r="L47" s="26">
        <v>29709.199046759215</v>
      </c>
      <c r="M47" s="26">
        <v>25557.059785390236</v>
      </c>
      <c r="N47" s="26">
        <v>250506.67516082092</v>
      </c>
      <c r="O47" s="26">
        <v>33575.753240908991</v>
      </c>
      <c r="P47" s="26">
        <v>35060.971205693255</v>
      </c>
      <c r="Q47" s="26">
        <v>97458.418110372004</v>
      </c>
      <c r="R47" s="26">
        <v>426258.26990462322</v>
      </c>
      <c r="S47" s="26">
        <v>111358.20782571642</v>
      </c>
      <c r="T47" s="26">
        <v>-309.59589473284666</v>
      </c>
    </row>
    <row r="48" spans="1:20" x14ac:dyDescent="0.25">
      <c r="A48" s="72" t="str">
        <f>Calculations!A184</f>
        <v>Delay to reset</v>
      </c>
      <c r="B48" s="20">
        <v>2013</v>
      </c>
      <c r="C48" s="102">
        <f>Calculations!E184</f>
        <v>27040.902245158395</v>
      </c>
      <c r="D48" s="26">
        <v>27040.902245158395</v>
      </c>
      <c r="E48" s="26">
        <v>56138.955997507415</v>
      </c>
      <c r="F48" s="26">
        <v>8259.0536005244066</v>
      </c>
      <c r="G48" s="26">
        <v>22084.78914544269</v>
      </c>
      <c r="H48" s="26">
        <v>29395.574845253315</v>
      </c>
      <c r="I48" s="26">
        <v>13023.05943023436</v>
      </c>
      <c r="J48" s="26">
        <v>21996.3002211198</v>
      </c>
      <c r="K48" s="26">
        <v>6989.3103760750955</v>
      </c>
      <c r="L48" s="26">
        <v>27130.336724089659</v>
      </c>
      <c r="M48" s="26">
        <v>24552.463563182242</v>
      </c>
      <c r="N48" s="26">
        <v>244964.89453880207</v>
      </c>
      <c r="O48" s="26">
        <v>29750.759096602174</v>
      </c>
      <c r="P48" s="26">
        <v>28287.09987016732</v>
      </c>
      <c r="Q48" s="26">
        <v>88700.723310072426</v>
      </c>
      <c r="R48" s="26">
        <v>440688.37240907509</v>
      </c>
      <c r="S48" s="26">
        <v>103922.90553344754</v>
      </c>
      <c r="T48" s="26">
        <v>139986.99705354599</v>
      </c>
    </row>
    <row r="49" spans="1:20" x14ac:dyDescent="0.25">
      <c r="A49" s="72" t="str">
        <f>Calculations!A185</f>
        <v>Clawback for delay</v>
      </c>
      <c r="B49" s="20">
        <v>2013</v>
      </c>
      <c r="C49" s="102">
        <f>Calculations!E185</f>
        <v>27040.902245158395</v>
      </c>
      <c r="D49" s="26">
        <v>27040.902245158395</v>
      </c>
      <c r="E49" s="26">
        <v>56138.955997507415</v>
      </c>
      <c r="F49" s="26">
        <v>8259.0536005244066</v>
      </c>
      <c r="G49" s="26">
        <v>22084.78914544269</v>
      </c>
      <c r="H49" s="26">
        <v>29395.574845253315</v>
      </c>
      <c r="I49" s="26">
        <v>13023.05943023436</v>
      </c>
      <c r="J49" s="26">
        <v>21996.3002211198</v>
      </c>
      <c r="K49" s="26">
        <v>6989.3103760750955</v>
      </c>
      <c r="L49" s="26">
        <v>27130.336724089659</v>
      </c>
      <c r="M49" s="26">
        <v>24552.463563182242</v>
      </c>
      <c r="N49" s="26">
        <v>244964.89453880207</v>
      </c>
      <c r="O49" s="26">
        <v>29750.759096602174</v>
      </c>
      <c r="P49" s="26">
        <v>28287.09987016732</v>
      </c>
      <c r="Q49" s="26">
        <v>88700.723310072426</v>
      </c>
      <c r="R49" s="26">
        <v>440688.37240907509</v>
      </c>
      <c r="S49" s="26">
        <v>103922.90553344754</v>
      </c>
      <c r="T49" s="26">
        <v>139986.99705354599</v>
      </c>
    </row>
    <row r="50" spans="1:20" x14ac:dyDescent="0.25">
      <c r="A50" s="72" t="str">
        <f>Calculations!A186</f>
        <v>10% cap</v>
      </c>
      <c r="B50" s="20">
        <v>2013</v>
      </c>
      <c r="C50" s="102">
        <f>Calculations!E186</f>
        <v>27040.902245158395</v>
      </c>
      <c r="D50" s="26">
        <v>27040.902245158395</v>
      </c>
      <c r="E50" s="26">
        <v>56138.955997507415</v>
      </c>
      <c r="F50" s="26">
        <v>8259.0536005244066</v>
      </c>
      <c r="G50" s="26">
        <v>22084.78914544269</v>
      </c>
      <c r="H50" s="26">
        <v>29395.574845253315</v>
      </c>
      <c r="I50" s="26">
        <v>13023.05943023436</v>
      </c>
      <c r="J50" s="26">
        <v>21996.3002211198</v>
      </c>
      <c r="K50" s="26">
        <v>6989.3103760750955</v>
      </c>
      <c r="L50" s="26">
        <v>27130.336724089659</v>
      </c>
      <c r="M50" s="26">
        <v>24552.463563182242</v>
      </c>
      <c r="N50" s="26">
        <v>244964.89453880207</v>
      </c>
      <c r="O50" s="26">
        <v>29750.759096602174</v>
      </c>
      <c r="P50" s="26">
        <v>28287.09987016732</v>
      </c>
      <c r="Q50" s="26">
        <v>88700.723310072426</v>
      </c>
      <c r="R50" s="26">
        <v>440688.37240907509</v>
      </c>
      <c r="S50" s="26">
        <v>103922.90553344754</v>
      </c>
      <c r="T50" s="26">
        <v>139986.99705354599</v>
      </c>
    </row>
    <row r="51" spans="1:20" x14ac:dyDescent="0.25">
      <c r="A51" s="72" t="str">
        <f>Calculations!A187</f>
        <v>NPV adjustment for 10% cap</v>
      </c>
      <c r="B51" s="20">
        <v>2013</v>
      </c>
      <c r="C51" s="102">
        <f>Calculations!E187</f>
        <v>27040.902245158395</v>
      </c>
      <c r="D51" s="26">
        <v>27040.902245158395</v>
      </c>
      <c r="E51" s="26">
        <v>56138.955997507415</v>
      </c>
      <c r="F51" s="26">
        <v>8259.0536005244066</v>
      </c>
      <c r="G51" s="26">
        <v>22084.78914544269</v>
      </c>
      <c r="H51" s="26">
        <v>29395.574845253315</v>
      </c>
      <c r="I51" s="26">
        <v>13023.05943023436</v>
      </c>
      <c r="J51" s="26">
        <v>21996.3002211198</v>
      </c>
      <c r="K51" s="26">
        <v>6989.3103760750955</v>
      </c>
      <c r="L51" s="26">
        <v>27130.336724089659</v>
      </c>
      <c r="M51" s="26">
        <v>24552.463563182242</v>
      </c>
      <c r="N51" s="26">
        <v>244964.89453880207</v>
      </c>
      <c r="O51" s="26">
        <v>29750.759096602174</v>
      </c>
      <c r="P51" s="26">
        <v>28287.09987016732</v>
      </c>
      <c r="Q51" s="26">
        <v>88700.723310072426</v>
      </c>
      <c r="R51" s="26">
        <v>440688.37240907509</v>
      </c>
      <c r="S51" s="26">
        <v>103922.90553344754</v>
      </c>
      <c r="T51" s="26">
        <v>139986.99705354599</v>
      </c>
    </row>
    <row r="52" spans="1:20" x14ac:dyDescent="0.25">
      <c r="A52" s="72" t="str">
        <f>Calculations!A188</f>
        <v>Financial incentives</v>
      </c>
      <c r="B52" s="20">
        <v>2013</v>
      </c>
      <c r="C52" s="102">
        <f>Calculations!E188</f>
        <v>27040.902245158395</v>
      </c>
      <c r="D52" s="26">
        <v>27040.902245158395</v>
      </c>
      <c r="E52" s="26">
        <v>56138.955997507415</v>
      </c>
      <c r="F52" s="26">
        <v>8259.0536005244066</v>
      </c>
      <c r="G52" s="26">
        <v>22084.78914544269</v>
      </c>
      <c r="H52" s="26">
        <v>29395.574845253315</v>
      </c>
      <c r="I52" s="26">
        <v>13023.05943023436</v>
      </c>
      <c r="J52" s="26">
        <v>21996.3002211198</v>
      </c>
      <c r="K52" s="26">
        <v>6989.3103760750955</v>
      </c>
      <c r="L52" s="26">
        <v>27130.336724089659</v>
      </c>
      <c r="M52" s="26">
        <v>24552.463563182242</v>
      </c>
      <c r="N52" s="26">
        <v>245280.47022903097</v>
      </c>
      <c r="O52" s="26">
        <v>29750.759096602174</v>
      </c>
      <c r="P52" s="26">
        <v>29913.355557286777</v>
      </c>
      <c r="Q52" s="26">
        <v>88840.404353288497</v>
      </c>
      <c r="R52" s="26">
        <v>440688.37240907509</v>
      </c>
      <c r="S52" s="26">
        <v>103922.90553344754</v>
      </c>
      <c r="T52" s="26">
        <v>139986.99705354599</v>
      </c>
    </row>
    <row r="53" spans="1:20" x14ac:dyDescent="0.25">
      <c r="A53" s="72" t="str">
        <f>Calculations!A189</f>
        <v>Other regulatory income</v>
      </c>
      <c r="B53" s="20">
        <v>2013</v>
      </c>
      <c r="C53" s="102">
        <f>Calculations!E189</f>
        <v>27063.563137925572</v>
      </c>
      <c r="D53" s="26">
        <v>27063.563137925572</v>
      </c>
      <c r="E53" s="26">
        <v>58559.466688150089</v>
      </c>
      <c r="F53" s="26">
        <v>8476.9057262701626</v>
      </c>
      <c r="G53" s="26">
        <v>22081.610041321677</v>
      </c>
      <c r="H53" s="26">
        <v>29230.017045949939</v>
      </c>
      <c r="I53" s="26">
        <v>12987.751231350472</v>
      </c>
      <c r="J53" s="26">
        <v>21927.149367616388</v>
      </c>
      <c r="K53" s="26">
        <v>7288.8010181718819</v>
      </c>
      <c r="L53" s="26">
        <v>28421.114115452143</v>
      </c>
      <c r="M53" s="26">
        <v>25471.769126549636</v>
      </c>
      <c r="N53" s="26">
        <v>245411.97505764448</v>
      </c>
      <c r="O53" s="26">
        <v>29702.770186086476</v>
      </c>
      <c r="P53" s="26">
        <v>30679.425920852344</v>
      </c>
      <c r="Q53" s="26">
        <v>89286.277802158176</v>
      </c>
      <c r="R53" s="26">
        <v>439482.08763112011</v>
      </c>
      <c r="S53" s="26">
        <v>104134.28967324852</v>
      </c>
      <c r="T53" s="26">
        <v>144327.68438805538</v>
      </c>
    </row>
    <row r="54" spans="1:20" x14ac:dyDescent="0.25">
      <c r="A54" s="72" t="s">
        <v>278</v>
      </c>
      <c r="B54" s="20">
        <v>2014</v>
      </c>
      <c r="C54" s="102">
        <f>Calculations!E190</f>
        <v>26506.075173333964</v>
      </c>
      <c r="D54" s="26">
        <v>26506.075173333964</v>
      </c>
      <c r="E54" s="26">
        <v>58475.658062220442</v>
      </c>
      <c r="F54" s="26">
        <v>8499.6685629424119</v>
      </c>
      <c r="G54" s="26">
        <v>21813.381434235896</v>
      </c>
      <c r="H54" s="26">
        <v>27670.76273390085</v>
      </c>
      <c r="I54" s="26">
        <v>12916.358698151143</v>
      </c>
      <c r="J54" s="26">
        <v>21944.116993006763</v>
      </c>
      <c r="K54" s="26">
        <v>7296.6262606151649</v>
      </c>
      <c r="L54" s="26">
        <v>28253.329044831517</v>
      </c>
      <c r="M54" s="26">
        <v>25465.529739897076</v>
      </c>
      <c r="N54" s="26">
        <v>237019.73104634378</v>
      </c>
      <c r="O54" s="26">
        <v>29703.302280844458</v>
      </c>
      <c r="P54" s="26">
        <v>30679.425920852344</v>
      </c>
      <c r="Q54" s="26">
        <v>88948.435918966221</v>
      </c>
      <c r="R54" s="26">
        <v>436369.78705338709</v>
      </c>
      <c r="S54" s="26">
        <v>104134.28967324852</v>
      </c>
      <c r="T54" s="26">
        <v>144567.06288899915</v>
      </c>
    </row>
    <row r="55" spans="1:20" x14ac:dyDescent="0.25">
      <c r="A55" s="72" t="str">
        <f>Calculations!A191</f>
        <v>Other revenue effects</v>
      </c>
      <c r="B55" s="20">
        <v>2013</v>
      </c>
      <c r="C55" s="102">
        <f>Calculations!E191</f>
        <v>26506.075173333964</v>
      </c>
      <c r="D55" s="26">
        <v>26506.075173333964</v>
      </c>
      <c r="E55" s="26">
        <v>58475.658062220442</v>
      </c>
      <c r="F55" s="26">
        <v>8499.6685629424119</v>
      </c>
      <c r="G55" s="26">
        <v>21813.381434235896</v>
      </c>
      <c r="H55" s="26">
        <v>27670.76273390085</v>
      </c>
      <c r="I55" s="26">
        <v>12916.358698151143</v>
      </c>
      <c r="J55" s="26">
        <v>21944.116993006763</v>
      </c>
      <c r="K55" s="26">
        <v>7296.6262606151649</v>
      </c>
      <c r="L55" s="26">
        <v>28253.329044831517</v>
      </c>
      <c r="M55" s="26">
        <v>25465.529739897076</v>
      </c>
      <c r="N55" s="26">
        <v>237019.73104634378</v>
      </c>
      <c r="O55" s="26">
        <v>29703.302280844458</v>
      </c>
      <c r="P55" s="26">
        <v>30679.425920852347</v>
      </c>
      <c r="Q55" s="26">
        <v>88948.435918966221</v>
      </c>
      <c r="R55" s="26">
        <v>436369.78705338709</v>
      </c>
      <c r="S55" s="26">
        <v>104134.28967324852</v>
      </c>
      <c r="T55" s="26">
        <v>144567.06288899912</v>
      </c>
    </row>
    <row r="56" spans="1:20" x14ac:dyDescent="0.25">
      <c r="A56" s="72"/>
      <c r="B56" s="20"/>
      <c r="C56" s="102"/>
      <c r="D56" s="160">
        <v>0</v>
      </c>
      <c r="E56" s="160">
        <v>0</v>
      </c>
      <c r="F56" s="160">
        <v>0</v>
      </c>
      <c r="G56" s="160">
        <v>0</v>
      </c>
      <c r="H56" s="160">
        <v>0</v>
      </c>
      <c r="I56" s="160">
        <v>0</v>
      </c>
      <c r="J56" s="160">
        <v>0</v>
      </c>
      <c r="K56" s="160">
        <v>0</v>
      </c>
      <c r="L56" s="160">
        <v>0</v>
      </c>
      <c r="M56" s="160">
        <v>0</v>
      </c>
      <c r="N56" s="160">
        <v>0</v>
      </c>
      <c r="O56" s="160">
        <v>0</v>
      </c>
      <c r="P56" s="160">
        <v>0</v>
      </c>
      <c r="Q56" s="160">
        <v>0</v>
      </c>
      <c r="R56" s="160">
        <v>0</v>
      </c>
      <c r="S56" s="160">
        <v>0</v>
      </c>
      <c r="T56" s="160">
        <v>0</v>
      </c>
    </row>
    <row r="57" spans="1:20" x14ac:dyDescent="0.25">
      <c r="A57" s="72" t="str">
        <f>Calculations!A179</f>
        <v>Revenue equivalent to expected return of 8.77% incl. ORI incl. gains/losses on disposal</v>
      </c>
      <c r="B57" s="20">
        <v>2014</v>
      </c>
      <c r="C57" s="102">
        <f>Calculations!F179</f>
        <v>36847.785702563415</v>
      </c>
      <c r="D57" s="26">
        <v>36847.785702563415</v>
      </c>
      <c r="E57" s="26">
        <v>60857.495301189971</v>
      </c>
      <c r="F57" s="26">
        <v>9732.3706489141714</v>
      </c>
      <c r="G57" s="26">
        <v>22589.55256744189</v>
      </c>
      <c r="H57" s="26">
        <v>31661.8030624126</v>
      </c>
      <c r="I57" s="26">
        <v>14026.834572389918</v>
      </c>
      <c r="J57" s="26">
        <v>21976.162680548401</v>
      </c>
      <c r="K57" s="26">
        <v>7524.9880464948064</v>
      </c>
      <c r="L57" s="26">
        <v>30592.849050994097</v>
      </c>
      <c r="M57" s="26">
        <v>26239.797610763861</v>
      </c>
      <c r="N57" s="26">
        <v>257762.70227921839</v>
      </c>
      <c r="O57" s="26">
        <v>32771.884841899824</v>
      </c>
      <c r="P57" s="26">
        <v>34338.247193290415</v>
      </c>
      <c r="Q57" s="26">
        <v>96107.812940961259</v>
      </c>
      <c r="R57" s="26">
        <v>443508.37844484992</v>
      </c>
      <c r="S57" s="26">
        <v>114919.34082501728</v>
      </c>
      <c r="T57" s="26">
        <v>-315.08240425975782</v>
      </c>
    </row>
    <row r="58" spans="1:20" x14ac:dyDescent="0.25">
      <c r="A58" s="72" t="str">
        <f>Calculations!A180</f>
        <v>Billed quantities (Delta D)</v>
      </c>
      <c r="B58" s="20">
        <v>2014</v>
      </c>
      <c r="C58" s="102">
        <f>Calculations!F180</f>
        <v>36484.317434667013</v>
      </c>
      <c r="D58" s="26">
        <v>36484.317434667013</v>
      </c>
      <c r="E58" s="26">
        <v>56124.057583019094</v>
      </c>
      <c r="F58" s="26">
        <v>9882.0777612837574</v>
      </c>
      <c r="G58" s="26">
        <v>21753.383011239166</v>
      </c>
      <c r="H58" s="26">
        <v>33360.950959634123</v>
      </c>
      <c r="I58" s="26">
        <v>13521.604509164808</v>
      </c>
      <c r="J58" s="26">
        <v>22213.654413046886</v>
      </c>
      <c r="K58" s="26">
        <v>6922.7070062497833</v>
      </c>
      <c r="L58" s="26">
        <v>30099.888639601948</v>
      </c>
      <c r="M58" s="26">
        <v>26158.985772439046</v>
      </c>
      <c r="N58" s="26">
        <v>255861.66105680825</v>
      </c>
      <c r="O58" s="26">
        <v>37149.871698068186</v>
      </c>
      <c r="P58" s="26">
        <v>33355.177374006671</v>
      </c>
      <c r="Q58" s="26">
        <v>95638.321311219304</v>
      </c>
      <c r="R58" s="26">
        <v>426036.95754525095</v>
      </c>
      <c r="S58" s="26">
        <v>106851.70918809605</v>
      </c>
      <c r="T58" s="26">
        <v>-315.08240425975782</v>
      </c>
    </row>
    <row r="59" spans="1:20" x14ac:dyDescent="0.25">
      <c r="A59" s="72" t="str">
        <f>Calculations!A181</f>
        <v>Billed quantities (CPRG)</v>
      </c>
      <c r="B59" s="20">
        <v>2014</v>
      </c>
      <c r="C59" s="102">
        <f>Calculations!F181</f>
        <v>37672.6309859178</v>
      </c>
      <c r="D59" s="26">
        <v>37672.6309859178</v>
      </c>
      <c r="E59" s="26">
        <v>56124.057583019094</v>
      </c>
      <c r="F59" s="26">
        <v>9515.7249595348985</v>
      </c>
      <c r="G59" s="26">
        <v>21753.383011239166</v>
      </c>
      <c r="H59" s="26">
        <v>33360.950959634123</v>
      </c>
      <c r="I59" s="26">
        <v>13521.604509164808</v>
      </c>
      <c r="J59" s="26">
        <v>22213.654413046886</v>
      </c>
      <c r="K59" s="26">
        <v>6922.7070062497833</v>
      </c>
      <c r="L59" s="26">
        <v>30099.888639601948</v>
      </c>
      <c r="M59" s="26">
        <v>26158.985772439046</v>
      </c>
      <c r="N59" s="26">
        <v>255861.66105680825</v>
      </c>
      <c r="O59" s="26">
        <v>37552.697874921018</v>
      </c>
      <c r="P59" s="26">
        <v>32491.132464990009</v>
      </c>
      <c r="Q59" s="26">
        <v>95638.321311219304</v>
      </c>
      <c r="R59" s="26">
        <v>426036.95754525095</v>
      </c>
      <c r="S59" s="26">
        <v>106851.70918809605</v>
      </c>
      <c r="T59" s="26">
        <v>-315.08240425975782</v>
      </c>
    </row>
    <row r="60" spans="1:20" x14ac:dyDescent="0.25">
      <c r="A60" s="72" t="str">
        <f>Calculations!A182</f>
        <v>Inflation indexation</v>
      </c>
      <c r="B60" s="20">
        <v>2014</v>
      </c>
      <c r="C60" s="102">
        <f>Calculations!F182</f>
        <v>37340.357665775511</v>
      </c>
      <c r="D60" s="26">
        <v>37340.357665775511</v>
      </c>
      <c r="E60" s="26">
        <v>55481.078826347453</v>
      </c>
      <c r="F60" s="26">
        <v>9417.5332370240649</v>
      </c>
      <c r="G60" s="26">
        <v>21516.475177285385</v>
      </c>
      <c r="H60" s="26">
        <v>33028.054727825409</v>
      </c>
      <c r="I60" s="26">
        <v>13372.759031625315</v>
      </c>
      <c r="J60" s="26">
        <v>21980.085073920247</v>
      </c>
      <c r="K60" s="26">
        <v>6842.2993312146527</v>
      </c>
      <c r="L60" s="26">
        <v>29776.495853648292</v>
      </c>
      <c r="M60" s="26">
        <v>25882.29839267645</v>
      </c>
      <c r="N60" s="26">
        <v>253108.30177758768</v>
      </c>
      <c r="O60" s="26">
        <v>37217.18180433118</v>
      </c>
      <c r="P60" s="26">
        <v>32138.013401159827</v>
      </c>
      <c r="Q60" s="26">
        <v>94614.732913594547</v>
      </c>
      <c r="R60" s="26">
        <v>421379.52514927799</v>
      </c>
      <c r="S60" s="26">
        <v>105629.08231299095</v>
      </c>
      <c r="T60" s="26">
        <v>-315.08240425975782</v>
      </c>
    </row>
    <row r="61" spans="1:20" x14ac:dyDescent="0.25">
      <c r="A61" s="72" t="str">
        <f>Calculations!A183</f>
        <v>Pricing beneath limit</v>
      </c>
      <c r="B61" s="20">
        <v>2014</v>
      </c>
      <c r="C61" s="102">
        <f>Calculations!F183</f>
        <v>36176.97226095738</v>
      </c>
      <c r="D61" s="26">
        <v>36176.97226095738</v>
      </c>
      <c r="E61" s="26">
        <v>55201.519104652492</v>
      </c>
      <c r="F61" s="26">
        <v>9198.4371072145495</v>
      </c>
      <c r="G61" s="26">
        <v>21363.161512754548</v>
      </c>
      <c r="H61" s="26">
        <v>32406.662023593854</v>
      </c>
      <c r="I61" s="26">
        <v>13211.733762139405</v>
      </c>
      <c r="J61" s="26">
        <v>21943.52624999432</v>
      </c>
      <c r="K61" s="26">
        <v>6839.4008831416468</v>
      </c>
      <c r="L61" s="26">
        <v>27145.947931660092</v>
      </c>
      <c r="M61" s="26">
        <v>25701.393567384304</v>
      </c>
      <c r="N61" s="26">
        <v>251238.62427784354</v>
      </c>
      <c r="O61" s="26">
        <v>32509.072827114291</v>
      </c>
      <c r="P61" s="26">
        <v>29283.755924192068</v>
      </c>
      <c r="Q61" s="26">
        <v>94217.984183316163</v>
      </c>
      <c r="R61" s="26">
        <v>421368.05281019513</v>
      </c>
      <c r="S61" s="26">
        <v>105453.70326621726</v>
      </c>
      <c r="T61" s="26">
        <v>-951.35230046573508</v>
      </c>
    </row>
    <row r="62" spans="1:20" x14ac:dyDescent="0.25">
      <c r="A62" s="72" t="str">
        <f>Calculations!A184</f>
        <v>Delay to reset</v>
      </c>
      <c r="B62" s="20">
        <v>2014</v>
      </c>
      <c r="C62" s="102">
        <f>Calculations!F184</f>
        <v>36176.97226095738</v>
      </c>
      <c r="D62" s="26">
        <v>36176.97226095738</v>
      </c>
      <c r="E62" s="26">
        <v>55201.519104652492</v>
      </c>
      <c r="F62" s="26">
        <v>9198.4371072145495</v>
      </c>
      <c r="G62" s="26">
        <v>21363.161512754548</v>
      </c>
      <c r="H62" s="26">
        <v>32406.662023593854</v>
      </c>
      <c r="I62" s="26">
        <v>13211.733762139405</v>
      </c>
      <c r="J62" s="26">
        <v>21943.52624999432</v>
      </c>
      <c r="K62" s="26">
        <v>6839.4008831416468</v>
      </c>
      <c r="L62" s="26">
        <v>27145.947931660092</v>
      </c>
      <c r="M62" s="26">
        <v>25701.393567384304</v>
      </c>
      <c r="N62" s="26">
        <v>251238.62427784354</v>
      </c>
      <c r="O62" s="26">
        <v>32509.072827114291</v>
      </c>
      <c r="P62" s="26">
        <v>29283.755924192068</v>
      </c>
      <c r="Q62" s="26">
        <v>94217.984183316163</v>
      </c>
      <c r="R62" s="26">
        <v>421368.05281019513</v>
      </c>
      <c r="S62" s="26">
        <v>105453.70326621726</v>
      </c>
      <c r="T62" s="26">
        <v>-951.35230046573508</v>
      </c>
    </row>
    <row r="63" spans="1:20" x14ac:dyDescent="0.25">
      <c r="A63" s="72" t="str">
        <f>Calculations!A185</f>
        <v>Clawback for delay</v>
      </c>
      <c r="B63" s="20">
        <v>2014</v>
      </c>
      <c r="C63" s="102">
        <f>Calculations!F185</f>
        <v>36176.97226095738</v>
      </c>
      <c r="D63" s="26">
        <v>36176.97226095738</v>
      </c>
      <c r="E63" s="26">
        <v>55201.519104652492</v>
      </c>
      <c r="F63" s="26">
        <v>9198.4371072145495</v>
      </c>
      <c r="G63" s="26">
        <v>21363.161512754548</v>
      </c>
      <c r="H63" s="26">
        <v>32406.662023593854</v>
      </c>
      <c r="I63" s="26">
        <v>13211.733762139405</v>
      </c>
      <c r="J63" s="26">
        <v>21943.52624999432</v>
      </c>
      <c r="K63" s="26">
        <v>6839.4008831416468</v>
      </c>
      <c r="L63" s="26">
        <v>27145.947931660092</v>
      </c>
      <c r="M63" s="26">
        <v>25701.393567384304</v>
      </c>
      <c r="N63" s="26">
        <v>251238.62427784354</v>
      </c>
      <c r="O63" s="26">
        <v>32509.072827114291</v>
      </c>
      <c r="P63" s="26">
        <v>29283.755924192068</v>
      </c>
      <c r="Q63" s="26">
        <v>94217.984183316163</v>
      </c>
      <c r="R63" s="26">
        <v>421368.05281019513</v>
      </c>
      <c r="S63" s="26">
        <v>105453.70326621726</v>
      </c>
      <c r="T63" s="26">
        <v>-951.35230046573508</v>
      </c>
    </row>
    <row r="64" spans="1:20" x14ac:dyDescent="0.25">
      <c r="A64" s="72" t="str">
        <f>Calculations!A186</f>
        <v>10% cap</v>
      </c>
      <c r="B64" s="20">
        <v>2014</v>
      </c>
      <c r="C64" s="102">
        <f>Calculations!F186</f>
        <v>30432.170191243724</v>
      </c>
      <c r="D64" s="26">
        <v>30432.170191243724</v>
      </c>
      <c r="E64" s="26">
        <v>55201.519104652492</v>
      </c>
      <c r="F64" s="26">
        <v>8682.1801581827494</v>
      </c>
      <c r="G64" s="26">
        <v>21363.161512754548</v>
      </c>
      <c r="H64" s="26">
        <v>32406.662023593854</v>
      </c>
      <c r="I64" s="26">
        <v>13211.733762139405</v>
      </c>
      <c r="J64" s="26">
        <v>21943.52624999432</v>
      </c>
      <c r="K64" s="26">
        <v>6839.4008831416468</v>
      </c>
      <c r="L64" s="26">
        <v>27145.947931660092</v>
      </c>
      <c r="M64" s="26">
        <v>25701.393567384304</v>
      </c>
      <c r="N64" s="26">
        <v>251238.62427784354</v>
      </c>
      <c r="O64" s="26">
        <v>31185.448090055062</v>
      </c>
      <c r="P64" s="26">
        <v>27992.313443892046</v>
      </c>
      <c r="Q64" s="26">
        <v>94217.984183316163</v>
      </c>
      <c r="R64" s="26">
        <v>421368.05281019513</v>
      </c>
      <c r="S64" s="26">
        <v>105453.70326621726</v>
      </c>
      <c r="T64" s="26">
        <v>-951.35230046573508</v>
      </c>
    </row>
    <row r="65" spans="1:20" x14ac:dyDescent="0.25">
      <c r="A65" s="72" t="str">
        <f>Calculations!A187</f>
        <v>NPV adjustment for 10% cap</v>
      </c>
      <c r="B65" s="20">
        <v>2014</v>
      </c>
      <c r="C65" s="102">
        <f>Calculations!F187</f>
        <v>30432.170191243724</v>
      </c>
      <c r="D65" s="26">
        <v>30432.170191243724</v>
      </c>
      <c r="E65" s="26">
        <v>55201.519104652492</v>
      </c>
      <c r="F65" s="26">
        <v>8682.1801581827494</v>
      </c>
      <c r="G65" s="26">
        <v>21363.161512754548</v>
      </c>
      <c r="H65" s="26">
        <v>32406.662023593854</v>
      </c>
      <c r="I65" s="26">
        <v>13211.733762139405</v>
      </c>
      <c r="J65" s="26">
        <v>21943.52624999432</v>
      </c>
      <c r="K65" s="26">
        <v>6839.4008831416468</v>
      </c>
      <c r="L65" s="26">
        <v>27145.947931660092</v>
      </c>
      <c r="M65" s="26">
        <v>25701.393567384304</v>
      </c>
      <c r="N65" s="26">
        <v>251238.62427784354</v>
      </c>
      <c r="O65" s="26">
        <v>31185.448090055062</v>
      </c>
      <c r="P65" s="26">
        <v>27992.313443892046</v>
      </c>
      <c r="Q65" s="26">
        <v>94217.984183316163</v>
      </c>
      <c r="R65" s="26">
        <v>421368.05281019513</v>
      </c>
      <c r="S65" s="26">
        <v>105453.70326621726</v>
      </c>
      <c r="T65" s="26">
        <v>-951.35230046573508</v>
      </c>
    </row>
    <row r="66" spans="1:20" x14ac:dyDescent="0.25">
      <c r="A66" s="72" t="str">
        <f>Calculations!A188</f>
        <v>Financial incentives</v>
      </c>
      <c r="B66" s="20">
        <v>2014</v>
      </c>
      <c r="C66" s="102">
        <f>Calculations!F188</f>
        <v>30432.170191243724</v>
      </c>
      <c r="D66" s="26">
        <v>30432.170191243724</v>
      </c>
      <c r="E66" s="26">
        <v>55201.519104652492</v>
      </c>
      <c r="F66" s="26">
        <v>8682.1801581827494</v>
      </c>
      <c r="G66" s="26">
        <v>21363.161512754548</v>
      </c>
      <c r="H66" s="26">
        <v>32406.662023593854</v>
      </c>
      <c r="I66" s="26">
        <v>13211.733762139405</v>
      </c>
      <c r="J66" s="26">
        <v>21943.52624999432</v>
      </c>
      <c r="K66" s="26">
        <v>6839.4008831416468</v>
      </c>
      <c r="L66" s="26">
        <v>27145.947931660092</v>
      </c>
      <c r="M66" s="26">
        <v>25701.393567384304</v>
      </c>
      <c r="N66" s="26">
        <v>251554.19996807244</v>
      </c>
      <c r="O66" s="26">
        <v>31185.448090055062</v>
      </c>
      <c r="P66" s="26">
        <v>29762.712724889738</v>
      </c>
      <c r="Q66" s="26">
        <v>94454.924619586396</v>
      </c>
      <c r="R66" s="26">
        <v>421368.05281019513</v>
      </c>
      <c r="S66" s="26">
        <v>105453.70326621726</v>
      </c>
      <c r="T66" s="26">
        <v>-951.35230046573508</v>
      </c>
    </row>
    <row r="67" spans="1:20" x14ac:dyDescent="0.25">
      <c r="A67" s="72" t="str">
        <f>Calculations!A189</f>
        <v>Other regulatory income</v>
      </c>
      <c r="B67" s="20">
        <v>2014</v>
      </c>
      <c r="C67" s="102">
        <f>Calculations!F189</f>
        <v>30452.72960818269</v>
      </c>
      <c r="D67" s="26">
        <v>30452.72960818269</v>
      </c>
      <c r="E67" s="26">
        <v>57854.301768741956</v>
      </c>
      <c r="F67" s="26">
        <v>8762.9886380241551</v>
      </c>
      <c r="G67" s="26">
        <v>21203.677222605158</v>
      </c>
      <c r="H67" s="26">
        <v>32590.263436378435</v>
      </c>
      <c r="I67" s="26">
        <v>13155.816367121164</v>
      </c>
      <c r="J67" s="26">
        <v>22229.577114747139</v>
      </c>
      <c r="K67" s="26">
        <v>6892.1692772454981</v>
      </c>
      <c r="L67" s="26">
        <v>27082.833296441317</v>
      </c>
      <c r="M67" s="26">
        <v>25929.194106255658</v>
      </c>
      <c r="N67" s="26">
        <v>251875.55285629426</v>
      </c>
      <c r="O67" s="26">
        <v>31136.608743150475</v>
      </c>
      <c r="P67" s="26">
        <v>30322.553529156859</v>
      </c>
      <c r="Q67" s="26">
        <v>94839.814857880046</v>
      </c>
      <c r="R67" s="26">
        <v>417421.34510856919</v>
      </c>
      <c r="S67" s="26">
        <v>105505.76373033568</v>
      </c>
      <c r="T67" s="26">
        <v>2200.8072926716586</v>
      </c>
    </row>
    <row r="68" spans="1:20" x14ac:dyDescent="0.25">
      <c r="A68" s="72" t="s">
        <v>278</v>
      </c>
      <c r="B68" s="20">
        <v>2015</v>
      </c>
      <c r="C68" s="102">
        <f>Calculations!F190</f>
        <v>30278.412177429385</v>
      </c>
      <c r="D68" s="26">
        <v>30278.412177429385</v>
      </c>
      <c r="E68" s="26">
        <v>57478.714963649843</v>
      </c>
      <c r="F68" s="26">
        <v>8782.0928556917934</v>
      </c>
      <c r="G68" s="26">
        <v>21052.51516795333</v>
      </c>
      <c r="H68" s="26">
        <v>32563.361902129411</v>
      </c>
      <c r="I68" s="26">
        <v>12983.118863986385</v>
      </c>
      <c r="J68" s="26">
        <v>22184.05144140264</v>
      </c>
      <c r="K68" s="26">
        <v>6892.1692772454981</v>
      </c>
      <c r="L68" s="26">
        <v>26879.002440785265</v>
      </c>
      <c r="M68" s="26">
        <v>25914.258426174321</v>
      </c>
      <c r="N68" s="26">
        <v>243313.91102669467</v>
      </c>
      <c r="O68" s="26">
        <v>31147.990161486599</v>
      </c>
      <c r="P68" s="26">
        <v>30326.555318617793</v>
      </c>
      <c r="Q68" s="26">
        <v>90844.937021900274</v>
      </c>
      <c r="R68" s="26">
        <v>409345.71146189159</v>
      </c>
      <c r="S68" s="26">
        <v>105152.1004891085</v>
      </c>
      <c r="T68" s="26">
        <v>-4580.4486868702897</v>
      </c>
    </row>
    <row r="69" spans="1:20" x14ac:dyDescent="0.25">
      <c r="A69" s="72" t="str">
        <f>Calculations!A191</f>
        <v>Other revenue effects</v>
      </c>
      <c r="B69" s="20">
        <v>2014</v>
      </c>
      <c r="C69" s="102">
        <f>Calculations!F191</f>
        <v>30282.295989362377</v>
      </c>
      <c r="D69" s="26">
        <v>30282.295989362377</v>
      </c>
      <c r="E69" s="26">
        <v>57479.266620612441</v>
      </c>
      <c r="F69" s="26">
        <v>8780.4931719756878</v>
      </c>
      <c r="G69" s="26">
        <v>21053.39510333553</v>
      </c>
      <c r="H69" s="26">
        <v>32563.931682681912</v>
      </c>
      <c r="I69" s="26">
        <v>12984.057026115321</v>
      </c>
      <c r="J69" s="26">
        <v>22184.659761994561</v>
      </c>
      <c r="K69" s="26">
        <v>6893.1058463997779</v>
      </c>
      <c r="L69" s="26">
        <v>26879.979749432809</v>
      </c>
      <c r="M69" s="26">
        <v>25914.5375814088</v>
      </c>
      <c r="N69" s="26">
        <v>243313.92491327916</v>
      </c>
      <c r="O69" s="26">
        <v>31101.209523130259</v>
      </c>
      <c r="P69" s="26">
        <v>30337.059834781456</v>
      </c>
      <c r="Q69" s="26">
        <v>90845.516231954272</v>
      </c>
      <c r="R69" s="26">
        <v>409346.16122585011</v>
      </c>
      <c r="S69" s="26">
        <v>105152.16465773381</v>
      </c>
      <c r="T69" s="26">
        <v>139862.88177485307</v>
      </c>
    </row>
    <row r="70" spans="1:20" x14ac:dyDescent="0.25">
      <c r="B70" s="12"/>
      <c r="C70" s="102"/>
      <c r="D70" s="160">
        <v>0</v>
      </c>
      <c r="E70" s="160">
        <v>0</v>
      </c>
      <c r="F70" s="160">
        <v>0</v>
      </c>
      <c r="G70" s="160">
        <v>0</v>
      </c>
      <c r="H70" s="160">
        <v>0</v>
      </c>
      <c r="I70" s="160">
        <v>0</v>
      </c>
      <c r="J70" s="160">
        <v>0</v>
      </c>
      <c r="K70" s="160">
        <v>0</v>
      </c>
      <c r="L70" s="160">
        <v>0</v>
      </c>
      <c r="M70" s="160">
        <v>0</v>
      </c>
      <c r="N70" s="160">
        <v>0</v>
      </c>
      <c r="O70" s="160">
        <v>0</v>
      </c>
      <c r="P70" s="160">
        <v>0</v>
      </c>
      <c r="Q70" s="160">
        <v>0</v>
      </c>
      <c r="R70" s="160">
        <v>0</v>
      </c>
      <c r="S70" s="160">
        <v>0</v>
      </c>
      <c r="T70" s="160">
        <v>0</v>
      </c>
    </row>
    <row r="71" spans="1:20" x14ac:dyDescent="0.25">
      <c r="A71" s="72" t="str">
        <f>Calculations!A179</f>
        <v>Revenue equivalent to expected return of 8.77% incl. ORI incl. gains/losses on disposal</v>
      </c>
      <c r="B71" s="20">
        <v>2015</v>
      </c>
      <c r="C71" s="102">
        <f>Calculations!G179</f>
        <v>41657.245754469004</v>
      </c>
      <c r="D71" s="26">
        <v>41657.245754469004</v>
      </c>
      <c r="E71" s="26">
        <v>62605.201730256951</v>
      </c>
      <c r="F71" s="26">
        <v>10912.352424415158</v>
      </c>
      <c r="G71" s="26">
        <v>23039.69843305496</v>
      </c>
      <c r="H71" s="26">
        <v>32873.282076976109</v>
      </c>
      <c r="I71" s="26">
        <v>14321.520787204397</v>
      </c>
      <c r="J71" s="26">
        <v>22449.093610610948</v>
      </c>
      <c r="K71" s="26">
        <v>7732.4093851394828</v>
      </c>
      <c r="L71" s="26">
        <v>31456.059159275224</v>
      </c>
      <c r="M71" s="26">
        <v>26901.268415633531</v>
      </c>
      <c r="N71" s="26">
        <v>264816.22063123452</v>
      </c>
      <c r="O71" s="26">
        <v>36825.569327826415</v>
      </c>
      <c r="P71" s="26">
        <v>38728.07540140616</v>
      </c>
      <c r="Q71" s="26">
        <v>106124.0519875574</v>
      </c>
      <c r="R71" s="26">
        <v>460795.52148919477</v>
      </c>
      <c r="S71" s="26">
        <v>118413.17982425386</v>
      </c>
      <c r="T71" s="26">
        <v>-322.39775029563941</v>
      </c>
    </row>
    <row r="72" spans="1:20" x14ac:dyDescent="0.25">
      <c r="A72" s="72" t="str">
        <f>Calculations!A180</f>
        <v>Billed quantities (Delta D)</v>
      </c>
      <c r="B72" s="20">
        <v>2015</v>
      </c>
      <c r="C72" s="102">
        <f>Calculations!G180</f>
        <v>41246.329299513345</v>
      </c>
      <c r="D72" s="26">
        <v>41246.329299513345</v>
      </c>
      <c r="E72" s="26">
        <v>57564.501995078535</v>
      </c>
      <c r="F72" s="26">
        <v>11080.25099456472</v>
      </c>
      <c r="G72" s="26">
        <v>22176.650401214942</v>
      </c>
      <c r="H72" s="26">
        <v>34641.74511630807</v>
      </c>
      <c r="I72" s="26">
        <v>13808.839545888861</v>
      </c>
      <c r="J72" s="26">
        <v>22692.519841581889</v>
      </c>
      <c r="K72" s="26">
        <v>7142.1940046393856</v>
      </c>
      <c r="L72" s="26">
        <v>30945.346085477915</v>
      </c>
      <c r="M72" s="26">
        <v>26816.28108257605</v>
      </c>
      <c r="N72" s="26">
        <v>262881.55764094228</v>
      </c>
      <c r="O72" s="26">
        <v>41745.743283767537</v>
      </c>
      <c r="P72" s="26">
        <v>37619.32917240508</v>
      </c>
      <c r="Q72" s="26">
        <v>105606.28972068364</v>
      </c>
      <c r="R72" s="26">
        <v>442749.77400735609</v>
      </c>
      <c r="S72" s="26">
        <v>110164.11680958439</v>
      </c>
      <c r="T72" s="26">
        <v>-322.39775029563941</v>
      </c>
    </row>
    <row r="73" spans="1:20" x14ac:dyDescent="0.25">
      <c r="A73" s="72" t="str">
        <f>Calculations!A181</f>
        <v>Billed quantities (CPRG)</v>
      </c>
      <c r="B73" s="20">
        <v>2015</v>
      </c>
      <c r="C73" s="102">
        <f>Calculations!G181</f>
        <v>45669.222569383513</v>
      </c>
      <c r="D73" s="26">
        <v>45669.222569383513</v>
      </c>
      <c r="E73" s="26">
        <v>60465.054079215202</v>
      </c>
      <c r="F73" s="26">
        <v>10876.949970913744</v>
      </c>
      <c r="G73" s="26">
        <v>22719.794364423316</v>
      </c>
      <c r="H73" s="26">
        <v>35103.941773490638</v>
      </c>
      <c r="I73" s="26">
        <v>13894.97980789885</v>
      </c>
      <c r="J73" s="26">
        <v>23038.07826224665</v>
      </c>
      <c r="K73" s="26">
        <v>6881.4396233303096</v>
      </c>
      <c r="L73" s="26">
        <v>31553.976836552069</v>
      </c>
      <c r="M73" s="26">
        <v>27814.88989508204</v>
      </c>
      <c r="N73" s="26">
        <v>263619.2192433264</v>
      </c>
      <c r="O73" s="26">
        <v>42416.374965706229</v>
      </c>
      <c r="P73" s="26">
        <v>36549.390270217526</v>
      </c>
      <c r="Q73" s="26">
        <v>106729.03330859942</v>
      </c>
      <c r="R73" s="26">
        <v>445482.32368013781</v>
      </c>
      <c r="S73" s="26">
        <v>110692.29504653657</v>
      </c>
      <c r="T73" s="26">
        <v>16937.411630345185</v>
      </c>
    </row>
    <row r="74" spans="1:20" x14ac:dyDescent="0.25">
      <c r="A74" s="72" t="str">
        <f>Calculations!A182</f>
        <v>Inflation indexation</v>
      </c>
      <c r="B74" s="20">
        <v>2015</v>
      </c>
      <c r="C74" s="102">
        <f>Calculations!G182</f>
        <v>44867.919048438074</v>
      </c>
      <c r="D74" s="26">
        <v>44867.919048438074</v>
      </c>
      <c r="E74" s="26">
        <v>59054.031652221594</v>
      </c>
      <c r="F74" s="26">
        <v>10642.044034937187</v>
      </c>
      <c r="G74" s="26">
        <v>22204.403529056955</v>
      </c>
      <c r="H74" s="26">
        <v>34366.490428279511</v>
      </c>
      <c r="I74" s="26">
        <v>13570.80959289161</v>
      </c>
      <c r="J74" s="26">
        <v>22529.130214670997</v>
      </c>
      <c r="K74" s="26">
        <v>6705.192889156202</v>
      </c>
      <c r="L74" s="26">
        <v>30844.640599533021</v>
      </c>
      <c r="M74" s="26">
        <v>27209.789488662027</v>
      </c>
      <c r="N74" s="26">
        <v>257585.25764402456</v>
      </c>
      <c r="O74" s="26">
        <v>41612.045683210359</v>
      </c>
      <c r="P74" s="26">
        <v>35699.85090903825</v>
      </c>
      <c r="Q74" s="26">
        <v>104317.46411922629</v>
      </c>
      <c r="R74" s="26">
        <v>435157.4915567477</v>
      </c>
      <c r="S74" s="26">
        <v>108004.91790854704</v>
      </c>
      <c r="T74" s="26">
        <v>16937.411630345185</v>
      </c>
    </row>
    <row r="75" spans="1:20" x14ac:dyDescent="0.25">
      <c r="A75" s="72" t="str">
        <f>Calculations!A183</f>
        <v>Pricing beneath limit</v>
      </c>
      <c r="B75" s="20">
        <v>2015</v>
      </c>
      <c r="C75" s="102">
        <f>Calculations!G183</f>
        <v>44185.804534516385</v>
      </c>
      <c r="D75" s="26">
        <v>44185.804534516385</v>
      </c>
      <c r="E75" s="26">
        <v>58570.323201876206</v>
      </c>
      <c r="F75" s="26">
        <v>10216.813347766774</v>
      </c>
      <c r="G75" s="26">
        <v>22165.843740922792</v>
      </c>
      <c r="H75" s="26">
        <v>32446.442757123139</v>
      </c>
      <c r="I75" s="26">
        <v>13405.067826912538</v>
      </c>
      <c r="J75" s="26">
        <v>22347.861991868183</v>
      </c>
      <c r="K75" s="26">
        <v>6498.1056296845381</v>
      </c>
      <c r="L75" s="26">
        <v>26909.516759242702</v>
      </c>
      <c r="M75" s="26">
        <v>27010.839156409296</v>
      </c>
      <c r="N75" s="26">
        <v>255935.93571115</v>
      </c>
      <c r="O75" s="26">
        <v>33731.445422565419</v>
      </c>
      <c r="P75" s="26">
        <v>30344.975313045776</v>
      </c>
      <c r="Q75" s="26">
        <v>104186.206598335</v>
      </c>
      <c r="R75" s="26">
        <v>435043.03173420561</v>
      </c>
      <c r="S75" s="26">
        <v>107496.40481821174</v>
      </c>
      <c r="T75" s="26">
        <v>15642.771897042761</v>
      </c>
    </row>
    <row r="76" spans="1:20" x14ac:dyDescent="0.25">
      <c r="A76" s="72" t="str">
        <f>Calculations!A184</f>
        <v>Delay to reset</v>
      </c>
      <c r="B76" s="20">
        <v>2015</v>
      </c>
      <c r="C76" s="102">
        <f>Calculations!G184</f>
        <v>44185.804534516385</v>
      </c>
      <c r="D76" s="26">
        <v>44185.804534516385</v>
      </c>
      <c r="E76" s="26">
        <v>58570.323201876206</v>
      </c>
      <c r="F76" s="26">
        <v>10216.813347766774</v>
      </c>
      <c r="G76" s="26">
        <v>22165.843740922792</v>
      </c>
      <c r="H76" s="26">
        <v>32446.442757123139</v>
      </c>
      <c r="I76" s="26">
        <v>13405.067826912538</v>
      </c>
      <c r="J76" s="26">
        <v>22347.861991868183</v>
      </c>
      <c r="K76" s="26">
        <v>6498.1056296845381</v>
      </c>
      <c r="L76" s="26">
        <v>26909.516759242702</v>
      </c>
      <c r="M76" s="26">
        <v>27010.839156409296</v>
      </c>
      <c r="N76" s="26">
        <v>255935.93571115</v>
      </c>
      <c r="O76" s="26">
        <v>33731.445422565419</v>
      </c>
      <c r="P76" s="26">
        <v>30344.975313045776</v>
      </c>
      <c r="Q76" s="26">
        <v>104186.206598335</v>
      </c>
      <c r="R76" s="26">
        <v>435043.03173420561</v>
      </c>
      <c r="S76" s="26">
        <v>107496.40481821174</v>
      </c>
      <c r="T76" s="26">
        <v>15642.771897042761</v>
      </c>
    </row>
    <row r="77" spans="1:20" x14ac:dyDescent="0.25">
      <c r="A77" s="72" t="str">
        <f>Calculations!A185</f>
        <v>Clawback for delay</v>
      </c>
      <c r="B77" s="20">
        <v>2015</v>
      </c>
      <c r="C77" s="102">
        <f>Calculations!G185</f>
        <v>55874.823222698484</v>
      </c>
      <c r="D77" s="26">
        <v>55874.823222698484</v>
      </c>
      <c r="E77" s="26">
        <v>59000.678426676146</v>
      </c>
      <c r="F77" s="26">
        <v>12145.638651933124</v>
      </c>
      <c r="G77" s="26">
        <v>22201.412742571971</v>
      </c>
      <c r="H77" s="26">
        <v>33628.521004210626</v>
      </c>
      <c r="I77" s="26">
        <v>14193.406589546894</v>
      </c>
      <c r="J77" s="26">
        <v>21662.91168160989</v>
      </c>
      <c r="K77" s="26">
        <v>6854.4950860667941</v>
      </c>
      <c r="L77" s="26">
        <v>29799.03641979002</v>
      </c>
      <c r="M77" s="26">
        <v>28147.838709490577</v>
      </c>
      <c r="N77" s="26">
        <v>262143.98207630895</v>
      </c>
      <c r="O77" s="26">
        <v>33731.445422565419</v>
      </c>
      <c r="P77" s="26">
        <v>37888.045551483097</v>
      </c>
      <c r="Q77" s="26">
        <v>113940.65877055841</v>
      </c>
      <c r="R77" s="26">
        <v>418715.59767447191</v>
      </c>
      <c r="S77" s="26">
        <v>115826.56836586085</v>
      </c>
      <c r="T77" s="26">
        <v>16097.935509792273</v>
      </c>
    </row>
    <row r="78" spans="1:20" x14ac:dyDescent="0.25">
      <c r="A78" s="72" t="str">
        <f>Calculations!A186</f>
        <v>10% cap</v>
      </c>
      <c r="B78" s="20">
        <v>2015</v>
      </c>
      <c r="C78" s="102">
        <f>Calculations!G186</f>
        <v>49380.078263060008</v>
      </c>
      <c r="D78" s="26">
        <v>49380.078263060008</v>
      </c>
      <c r="E78" s="26">
        <v>59000.678426676146</v>
      </c>
      <c r="F78" s="26">
        <v>11566.649436255591</v>
      </c>
      <c r="G78" s="26">
        <v>22201.412742571971</v>
      </c>
      <c r="H78" s="26">
        <v>33628.521004210626</v>
      </c>
      <c r="I78" s="26">
        <v>14193.406589546894</v>
      </c>
      <c r="J78" s="26">
        <v>21662.91168160989</v>
      </c>
      <c r="K78" s="26">
        <v>6854.4950860667941</v>
      </c>
      <c r="L78" s="26">
        <v>29799.03641979002</v>
      </c>
      <c r="M78" s="26">
        <v>28147.838709490577</v>
      </c>
      <c r="N78" s="26">
        <v>262143.98207630895</v>
      </c>
      <c r="O78" s="26">
        <v>32243.897795613899</v>
      </c>
      <c r="P78" s="26">
        <v>36431.504060821026</v>
      </c>
      <c r="Q78" s="26">
        <v>113940.65877055841</v>
      </c>
      <c r="R78" s="26">
        <v>418715.59767447191</v>
      </c>
      <c r="S78" s="26">
        <v>115826.56836586085</v>
      </c>
      <c r="T78" s="26">
        <v>16097.935509792273</v>
      </c>
    </row>
    <row r="79" spans="1:20" x14ac:dyDescent="0.25">
      <c r="A79" s="72" t="str">
        <f>Calculations!A187</f>
        <v>NPV adjustment for 10% cap</v>
      </c>
      <c r="B79" s="20">
        <v>2015</v>
      </c>
      <c r="C79" s="102">
        <f>Calculations!G187</f>
        <v>61883.552661053211</v>
      </c>
      <c r="D79" s="26">
        <v>61883.552661053211</v>
      </c>
      <c r="E79" s="26">
        <v>59000.678426676146</v>
      </c>
      <c r="F79" s="26">
        <v>12685.639977886032</v>
      </c>
      <c r="G79" s="26">
        <v>22201.412742571971</v>
      </c>
      <c r="H79" s="26">
        <v>33628.521004210626</v>
      </c>
      <c r="I79" s="26">
        <v>14193.406589546894</v>
      </c>
      <c r="J79" s="26">
        <v>21662.91168160989</v>
      </c>
      <c r="K79" s="26">
        <v>6854.4950860667941</v>
      </c>
      <c r="L79" s="26">
        <v>29799.03641979002</v>
      </c>
      <c r="M79" s="26">
        <v>28147.838709490577</v>
      </c>
      <c r="N79" s="26">
        <v>262143.98207630895</v>
      </c>
      <c r="O79" s="26">
        <v>32243.897795613899</v>
      </c>
      <c r="P79" s="26">
        <v>39238.839268939024</v>
      </c>
      <c r="Q79" s="26">
        <v>113940.65877055841</v>
      </c>
      <c r="R79" s="26">
        <v>418715.59767447191</v>
      </c>
      <c r="S79" s="26">
        <v>115826.56836586085</v>
      </c>
      <c r="T79" s="26">
        <v>16097.935509792273</v>
      </c>
    </row>
    <row r="80" spans="1:20" x14ac:dyDescent="0.25">
      <c r="A80" s="72" t="str">
        <f>Calculations!A188</f>
        <v>Financial incentives</v>
      </c>
      <c r="B80" s="20">
        <v>2015</v>
      </c>
      <c r="C80" s="102">
        <f>Calculations!G188</f>
        <v>61883.552661053211</v>
      </c>
      <c r="D80" s="26">
        <v>61883.552661053211</v>
      </c>
      <c r="E80" s="26">
        <v>59000.678426676146</v>
      </c>
      <c r="F80" s="26">
        <v>12685.639977886032</v>
      </c>
      <c r="G80" s="26">
        <v>22201.412742571971</v>
      </c>
      <c r="H80" s="26">
        <v>33628.521004210626</v>
      </c>
      <c r="I80" s="26">
        <v>14193.406589546894</v>
      </c>
      <c r="J80" s="26">
        <v>21662.91168160989</v>
      </c>
      <c r="K80" s="26">
        <v>6854.4950860667941</v>
      </c>
      <c r="L80" s="26">
        <v>29799.03641979002</v>
      </c>
      <c r="M80" s="26">
        <v>29476.991783015048</v>
      </c>
      <c r="N80" s="26">
        <v>262459.55776653788</v>
      </c>
      <c r="O80" s="26">
        <v>32243.897795613899</v>
      </c>
      <c r="P80" s="26">
        <v>41197.612301350477</v>
      </c>
      <c r="Q80" s="26">
        <v>114258.30380957571</v>
      </c>
      <c r="R80" s="26">
        <v>418715.59767447191</v>
      </c>
      <c r="S80" s="26">
        <v>115826.56836586085</v>
      </c>
      <c r="T80" s="26">
        <v>19409.462642127179</v>
      </c>
    </row>
    <row r="81" spans="1:20" x14ac:dyDescent="0.25">
      <c r="A81" s="72" t="str">
        <f>Calculations!A189</f>
        <v>Other regulatory income</v>
      </c>
      <c r="B81" s="20">
        <v>2015</v>
      </c>
      <c r="C81" s="102">
        <f>Calculations!G189</f>
        <v>61880.741652391174</v>
      </c>
      <c r="D81" s="26">
        <v>61880.741652391174</v>
      </c>
      <c r="E81" s="26">
        <v>61025.052271292865</v>
      </c>
      <c r="F81" s="26">
        <v>12747.202150804158</v>
      </c>
      <c r="G81" s="26">
        <v>21996.190607590466</v>
      </c>
      <c r="H81" s="26">
        <v>33870.696104729839</v>
      </c>
      <c r="I81" s="26">
        <v>14135.235628079945</v>
      </c>
      <c r="J81" s="26">
        <v>21746.271633973276</v>
      </c>
      <c r="K81" s="26">
        <v>6925.305366597534</v>
      </c>
      <c r="L81" s="26">
        <v>29561.724152509378</v>
      </c>
      <c r="M81" s="26">
        <v>29819.949098452464</v>
      </c>
      <c r="N81" s="26">
        <v>262767.47870405612</v>
      </c>
      <c r="O81" s="26">
        <v>32193.924533524128</v>
      </c>
      <c r="P81" s="26">
        <v>41728.006044280635</v>
      </c>
      <c r="Q81" s="26">
        <v>115187.16362801458</v>
      </c>
      <c r="R81" s="26">
        <v>411089.12588142994</v>
      </c>
      <c r="S81" s="26">
        <v>116010.23355495112</v>
      </c>
      <c r="T81" s="26">
        <v>53530.043717473629</v>
      </c>
    </row>
    <row r="82" spans="1:20" x14ac:dyDescent="0.25">
      <c r="A82" s="72" t="s">
        <v>278</v>
      </c>
      <c r="B82" s="20">
        <v>2015</v>
      </c>
      <c r="C82" s="102">
        <f>Calculations!G190</f>
        <v>61647.588878593335</v>
      </c>
      <c r="D82" s="26">
        <v>61647.588878593335</v>
      </c>
      <c r="E82" s="26">
        <v>61025.052271292865</v>
      </c>
      <c r="F82" s="26">
        <v>12784.450428995111</v>
      </c>
      <c r="G82" s="26">
        <v>21988.295343405909</v>
      </c>
      <c r="H82" s="26">
        <v>33872.76545351823</v>
      </c>
      <c r="I82" s="26">
        <v>14078.727920715481</v>
      </c>
      <c r="J82" s="26">
        <v>21621.511759597412</v>
      </c>
      <c r="K82" s="26">
        <v>6925.305366597534</v>
      </c>
      <c r="L82" s="26">
        <v>29189.241370599841</v>
      </c>
      <c r="M82" s="26">
        <v>29822.722025828902</v>
      </c>
      <c r="N82" s="26">
        <v>253654.20097170523</v>
      </c>
      <c r="O82" s="26">
        <v>32191.855184735745</v>
      </c>
      <c r="P82" s="26">
        <v>41737.869657360941</v>
      </c>
      <c r="Q82" s="26">
        <v>111891.35113037868</v>
      </c>
      <c r="R82" s="26">
        <v>401772.91763611475</v>
      </c>
      <c r="S82" s="26">
        <v>116010.23355495112</v>
      </c>
      <c r="T82" s="26">
        <v>52950.15217585292</v>
      </c>
    </row>
    <row r="83" spans="1:20" x14ac:dyDescent="0.25">
      <c r="A83" s="72" t="str">
        <f>Calculations!A191</f>
        <v>Other revenue effects</v>
      </c>
      <c r="B83" s="20">
        <v>2015</v>
      </c>
      <c r="C83" s="102">
        <f>Calculations!G191</f>
        <v>61656.954999759066</v>
      </c>
      <c r="D83" s="26">
        <v>61656.954999759066</v>
      </c>
      <c r="E83" s="26">
        <v>61025.612859422312</v>
      </c>
      <c r="F83" s="26">
        <v>12780.623475042277</v>
      </c>
      <c r="G83" s="26">
        <v>21989.181775664085</v>
      </c>
      <c r="H83" s="26">
        <v>33873.349933466365</v>
      </c>
      <c r="I83" s="26">
        <v>14079.674055183632</v>
      </c>
      <c r="J83" s="26">
        <v>21622.125560665572</v>
      </c>
      <c r="K83" s="26">
        <v>6926.2559734162542</v>
      </c>
      <c r="L83" s="26">
        <v>29190.234008977328</v>
      </c>
      <c r="M83" s="26">
        <v>29823.004722940488</v>
      </c>
      <c r="N83" s="26">
        <v>253654.21506370406</v>
      </c>
      <c r="O83" s="26">
        <v>32079.708433560147</v>
      </c>
      <c r="P83" s="26">
        <v>41763.141586478494</v>
      </c>
      <c r="Q83" s="26">
        <v>111891.98302981105</v>
      </c>
      <c r="R83" s="26">
        <v>401773.37933475047</v>
      </c>
      <c r="S83" s="26">
        <v>116010.29886724202</v>
      </c>
      <c r="T83" s="26">
        <v>198788.02240817863</v>
      </c>
    </row>
    <row r="84" spans="1:20" x14ac:dyDescent="0.25">
      <c r="A84" s="72"/>
      <c r="B84" s="163"/>
      <c r="C84" s="102"/>
      <c r="D84" s="160">
        <v>0</v>
      </c>
      <c r="E84" s="160">
        <v>0</v>
      </c>
      <c r="F84" s="160">
        <v>0</v>
      </c>
      <c r="G84" s="160">
        <v>0</v>
      </c>
      <c r="H84" s="160">
        <v>0</v>
      </c>
      <c r="I84" s="160">
        <v>0</v>
      </c>
      <c r="J84" s="160">
        <v>0</v>
      </c>
      <c r="K84" s="160">
        <v>0</v>
      </c>
      <c r="L84" s="160">
        <v>0</v>
      </c>
      <c r="M84" s="160">
        <v>0</v>
      </c>
      <c r="N84" s="160">
        <v>0</v>
      </c>
      <c r="O84" s="160">
        <v>0</v>
      </c>
      <c r="P84" s="160">
        <v>0</v>
      </c>
      <c r="Q84" s="160">
        <v>0</v>
      </c>
      <c r="R84" s="160">
        <v>0</v>
      </c>
      <c r="S84" s="160">
        <v>0</v>
      </c>
      <c r="T84" s="160">
        <v>0</v>
      </c>
    </row>
    <row r="85" spans="1:20" ht="33.75" customHeight="1" x14ac:dyDescent="0.35">
      <c r="A85" s="134" t="s">
        <v>295</v>
      </c>
      <c r="B85" s="163"/>
      <c r="C85" s="102"/>
      <c r="D85" s="160">
        <v>0</v>
      </c>
      <c r="E85" s="160">
        <v>0</v>
      </c>
      <c r="F85" s="160">
        <v>0</v>
      </c>
      <c r="G85" s="160">
        <v>0</v>
      </c>
      <c r="H85" s="160">
        <v>0</v>
      </c>
      <c r="I85" s="160">
        <v>0</v>
      </c>
      <c r="J85" s="160">
        <v>0</v>
      </c>
      <c r="K85" s="160">
        <v>0</v>
      </c>
      <c r="L85" s="160">
        <v>0</v>
      </c>
      <c r="M85" s="160">
        <v>0</v>
      </c>
      <c r="N85" s="160">
        <v>0</v>
      </c>
      <c r="O85" s="160">
        <v>0</v>
      </c>
      <c r="P85" s="160">
        <v>0</v>
      </c>
      <c r="Q85" s="160">
        <v>0</v>
      </c>
      <c r="R85" s="160">
        <v>0</v>
      </c>
      <c r="S85" s="160">
        <v>0</v>
      </c>
      <c r="T85" s="160">
        <v>0</v>
      </c>
    </row>
    <row r="86" spans="1:20" x14ac:dyDescent="0.25">
      <c r="A86" s="72" t="s">
        <v>236</v>
      </c>
      <c r="B86" s="20">
        <v>2013</v>
      </c>
      <c r="C86" s="102">
        <f>Calculations!E229</f>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row>
    <row r="87" spans="1:20" x14ac:dyDescent="0.25">
      <c r="A87" s="72" t="s">
        <v>236</v>
      </c>
      <c r="B87" s="20">
        <v>2014</v>
      </c>
      <c r="C87" s="102">
        <f>Calculations!F229</f>
        <v>2775.7878110211373</v>
      </c>
      <c r="D87" s="26">
        <v>2775.7878110211373</v>
      </c>
      <c r="E87" s="26">
        <v>613.60636803627654</v>
      </c>
      <c r="F87" s="26">
        <v>779.59342896296903</v>
      </c>
      <c r="G87" s="26">
        <v>-1354.4523552368132</v>
      </c>
      <c r="H87" s="26">
        <v>1668.9964589925983</v>
      </c>
      <c r="I87" s="26">
        <v>57.486350752421778</v>
      </c>
      <c r="J87" s="26">
        <v>-509.59042448735278</v>
      </c>
      <c r="K87" s="26">
        <v>-306.60084243145275</v>
      </c>
      <c r="L87" s="26">
        <v>2018.3913690372367</v>
      </c>
      <c r="M87" s="26">
        <v>847.72005271295222</v>
      </c>
      <c r="N87" s="26">
        <v>-1154.514489797893</v>
      </c>
      <c r="O87" s="26">
        <v>3145.2966602930383</v>
      </c>
      <c r="P87" s="26">
        <v>2711.1801469490706</v>
      </c>
      <c r="Q87" s="26">
        <v>5663.9097890005178</v>
      </c>
      <c r="R87" s="26">
        <v>-43876.466292913246</v>
      </c>
      <c r="S87" s="26">
        <v>-321.1865644466842</v>
      </c>
      <c r="T87" s="26">
        <v>0</v>
      </c>
    </row>
    <row r="88" spans="1:20" x14ac:dyDescent="0.25">
      <c r="A88" s="72" t="s">
        <v>236</v>
      </c>
      <c r="B88" s="20">
        <v>2015</v>
      </c>
      <c r="C88" s="102">
        <f>Calculations!G229</f>
        <v>29818.729625503911</v>
      </c>
      <c r="D88" s="26">
        <v>29818.729625503911</v>
      </c>
      <c r="E88" s="26">
        <v>1069.3704467399602</v>
      </c>
      <c r="F88" s="26">
        <v>4628.3869267939763</v>
      </c>
      <c r="G88" s="26">
        <v>-1363.6139107391691</v>
      </c>
      <c r="H88" s="26">
        <v>2879.5456015078867</v>
      </c>
      <c r="I88" s="26">
        <v>820.2538245869539</v>
      </c>
      <c r="J88" s="26">
        <v>-1184.320188159392</v>
      </c>
      <c r="K88" s="26">
        <v>43.987375561628163</v>
      </c>
      <c r="L88" s="26">
        <v>4883.7633835478218</v>
      </c>
      <c r="M88" s="26">
        <v>1990.4171923510755</v>
      </c>
      <c r="N88" s="26">
        <v>4825.0667955866338</v>
      </c>
      <c r="O88" s="26">
        <v>6703.1902680689655</v>
      </c>
      <c r="P88" s="26">
        <v>15751.665718237107</v>
      </c>
      <c r="Q88" s="26">
        <v>22656.359898288814</v>
      </c>
      <c r="R88" s="26">
        <v>-61099.051647321357</v>
      </c>
      <c r="S88" s="26">
        <v>7722.590334211508</v>
      </c>
      <c r="T88" s="26">
        <v>439.90999999997507</v>
      </c>
    </row>
    <row r="89" spans="1:20" x14ac:dyDescent="0.25">
      <c r="A89" s="72" t="s">
        <v>235</v>
      </c>
      <c r="B89" s="20" t="s">
        <v>173</v>
      </c>
      <c r="C89" s="102">
        <f>Calculations!H208</f>
        <v>33976.590189999682</v>
      </c>
      <c r="D89" s="159">
        <v>33976.590189999682</v>
      </c>
      <c r="E89" s="159">
        <v>1797.0122375772426</v>
      </c>
      <c r="F89" s="159">
        <v>5666.2398423706327</v>
      </c>
      <c r="G89" s="159">
        <v>-2935.2178529449161</v>
      </c>
      <c r="H89" s="159">
        <v>4857.7063157508401</v>
      </c>
      <c r="I89" s="159">
        <v>913.39164993396594</v>
      </c>
      <c r="J89" s="159">
        <v>-1798.886653317898</v>
      </c>
      <c r="K89" s="159">
        <v>-299.54067972759475</v>
      </c>
      <c r="L89" s="159">
        <v>7324.6335261945515</v>
      </c>
      <c r="M89" s="159">
        <v>3013.4708528188439</v>
      </c>
      <c r="N89" s="159">
        <v>3693.0647482522963</v>
      </c>
      <c r="O89" s="159">
        <v>10475.384435603302</v>
      </c>
      <c r="P89" s="159">
        <v>19349.048907536497</v>
      </c>
      <c r="Q89" s="159">
        <v>29816.20640516749</v>
      </c>
      <c r="R89" s="159">
        <v>-112596.87241699497</v>
      </c>
      <c r="S89" s="159">
        <v>7628.8981894832796</v>
      </c>
      <c r="T89" s="159">
        <v>455.16361274948576</v>
      </c>
    </row>
    <row r="90" spans="1:20" x14ac:dyDescent="0.25">
      <c r="A90" s="72" t="s">
        <v>286</v>
      </c>
      <c r="B90" s="20" t="s">
        <v>173</v>
      </c>
      <c r="C90" s="102">
        <f>Calculations!H72</f>
        <v>147154.37373596753</v>
      </c>
      <c r="D90" s="159">
        <v>147154.37373596753</v>
      </c>
      <c r="E90" s="159">
        <v>300266.14496397483</v>
      </c>
      <c r="F90" s="159">
        <v>38735.541650335923</v>
      </c>
      <c r="G90" s="159">
        <v>109583.46986274343</v>
      </c>
      <c r="H90" s="159">
        <v>125784.94236548038</v>
      </c>
      <c r="I90" s="159">
        <v>63021.197946936387</v>
      </c>
      <c r="J90" s="159">
        <v>104077.736760845</v>
      </c>
      <c r="K90" s="159">
        <v>34013.276412471765</v>
      </c>
      <c r="L90" s="159">
        <v>136154.22902523799</v>
      </c>
      <c r="M90" s="159">
        <v>113494.79223222977</v>
      </c>
      <c r="N90" s="159">
        <v>1147868.0377297753</v>
      </c>
      <c r="O90" s="159">
        <v>124336.65418060657</v>
      </c>
      <c r="P90" s="159">
        <v>127216.62437866849</v>
      </c>
      <c r="Q90" s="159">
        <v>430774.2325400752</v>
      </c>
      <c r="R90" s="159">
        <v>2047746.9995590108</v>
      </c>
      <c r="S90" s="159">
        <v>570010.67456273851</v>
      </c>
      <c r="T90" s="159">
        <v>776423.1096702416</v>
      </c>
    </row>
    <row r="91" spans="1:20" ht="35.25" customHeight="1" x14ac:dyDescent="0.35">
      <c r="A91" s="134" t="s">
        <v>214</v>
      </c>
      <c r="B91" s="20"/>
      <c r="C91" s="117"/>
      <c r="D91" s="161">
        <v>0</v>
      </c>
      <c r="E91" s="161">
        <v>0</v>
      </c>
      <c r="F91" s="161">
        <v>0</v>
      </c>
      <c r="G91" s="161">
        <v>0</v>
      </c>
      <c r="H91" s="161">
        <v>0</v>
      </c>
      <c r="I91" s="161">
        <v>0</v>
      </c>
      <c r="J91" s="161">
        <v>0</v>
      </c>
      <c r="K91" s="161">
        <v>0</v>
      </c>
      <c r="L91" s="161">
        <v>0</v>
      </c>
      <c r="M91" s="161">
        <v>0</v>
      </c>
      <c r="N91" s="161">
        <v>0</v>
      </c>
      <c r="O91" s="161">
        <v>0</v>
      </c>
      <c r="P91" s="161">
        <v>0</v>
      </c>
      <c r="Q91" s="161">
        <v>0</v>
      </c>
      <c r="R91" s="161">
        <v>0</v>
      </c>
      <c r="S91" s="161">
        <v>0</v>
      </c>
      <c r="T91" s="161">
        <v>0</v>
      </c>
    </row>
    <row r="92" spans="1:20" x14ac:dyDescent="0.25">
      <c r="A92" s="81" t="s">
        <v>9</v>
      </c>
      <c r="B92" s="162" t="s">
        <v>180</v>
      </c>
      <c r="C92" s="117">
        <f>Calculations!$B$232</f>
        <v>5.4803237473892707E-3</v>
      </c>
      <c r="D92" s="32">
        <v>5.4803237473892707E-3</v>
      </c>
      <c r="E92" s="32">
        <v>6.4726399189891648E-3</v>
      </c>
      <c r="F92" s="32">
        <v>-2.5500588774990396E-3</v>
      </c>
      <c r="G92" s="32">
        <v>-2.2495067489118892E-3</v>
      </c>
      <c r="H92" s="32">
        <v>1.5989394164066306E-2</v>
      </c>
      <c r="I92" s="32">
        <v>-1.1456926475380547E-3</v>
      </c>
      <c r="J92" s="32">
        <v>-6.3921843140435364E-4</v>
      </c>
      <c r="K92" s="32">
        <v>5.2828068935344419E-3</v>
      </c>
      <c r="L92" s="32">
        <v>5.9734074574071538E-3</v>
      </c>
      <c r="M92" s="32">
        <v>3.0042551825457675E-3</v>
      </c>
      <c r="N92" s="32">
        <v>5.0885795365811504E-3</v>
      </c>
      <c r="O92" s="32">
        <v>-4.7755866874987785E-4</v>
      </c>
      <c r="P92" s="32">
        <v>3.077150201565404E-3</v>
      </c>
      <c r="Q92" s="32">
        <v>4.9586501062370836E-4</v>
      </c>
      <c r="R92" s="32">
        <v>1.6719424191413257E-2</v>
      </c>
      <c r="S92" s="32">
        <v>8.0901277326554943E-3</v>
      </c>
      <c r="T92" s="32">
        <v>0</v>
      </c>
    </row>
    <row r="93" spans="1:20" x14ac:dyDescent="0.25">
      <c r="A93" s="81" t="s">
        <v>127</v>
      </c>
      <c r="B93" s="162" t="s">
        <v>180</v>
      </c>
      <c r="C93" s="117">
        <f>Calculations!$B$233</f>
        <v>6.1004167666081965E-2</v>
      </c>
      <c r="D93" s="32">
        <v>6.1004167666081965E-2</v>
      </c>
      <c r="E93" s="32">
        <v>3.9838571909245335E-3</v>
      </c>
      <c r="F93" s="32">
        <v>4.2751973493915241E-3</v>
      </c>
      <c r="G93" s="32">
        <v>-2.3257256247368741E-3</v>
      </c>
      <c r="H93" s="32">
        <v>3.6222202032837103E-2</v>
      </c>
      <c r="I93" s="32">
        <v>-7.8258201057023191E-3</v>
      </c>
      <c r="J93" s="32">
        <v>7.2741200116501759E-3</v>
      </c>
      <c r="K93" s="32">
        <v>-2.5188114547417539E-2</v>
      </c>
      <c r="L93" s="32">
        <v>9.1925922568609764E-3</v>
      </c>
      <c r="M93" s="32">
        <v>1.4907583880758635E-2</v>
      </c>
      <c r="N93" s="32">
        <v>4.2129846515184255E-3</v>
      </c>
      <c r="O93" s="32">
        <v>2.5246749229830945E-2</v>
      </c>
      <c r="P93" s="32">
        <v>-1.9731167310506725E-2</v>
      </c>
      <c r="Q93" s="32">
        <v>2.8087998606707298E-3</v>
      </c>
      <c r="R93" s="32">
        <v>9.4104794657445812E-3</v>
      </c>
      <c r="S93" s="32">
        <v>-5.9835105107924891E-3</v>
      </c>
      <c r="T93" s="32">
        <v>5.5822427861645041E-2</v>
      </c>
    </row>
    <row r="94" spans="1:20" x14ac:dyDescent="0.25">
      <c r="A94" s="81" t="s">
        <v>128</v>
      </c>
      <c r="B94" s="162" t="s">
        <v>180</v>
      </c>
      <c r="C94" s="117">
        <f>Calculations!$B$234</f>
        <v>5.5523843918692695E-2</v>
      </c>
      <c r="D94" s="32">
        <v>5.5523843918692695E-2</v>
      </c>
      <c r="E94" s="32">
        <v>-2.4887827280646313E-3</v>
      </c>
      <c r="F94" s="32">
        <v>6.8252562268905637E-3</v>
      </c>
      <c r="G94" s="32">
        <v>-7.6218875824984877E-5</v>
      </c>
      <c r="H94" s="32">
        <v>2.0232807868770797E-2</v>
      </c>
      <c r="I94" s="32">
        <v>-6.6801274581642645E-3</v>
      </c>
      <c r="J94" s="32">
        <v>7.9133384430545295E-3</v>
      </c>
      <c r="K94" s="32">
        <v>-3.0470921440951981E-2</v>
      </c>
      <c r="L94" s="32">
        <v>3.2191847994538225E-3</v>
      </c>
      <c r="M94" s="32">
        <v>1.1903328698212867E-2</v>
      </c>
      <c r="N94" s="32">
        <v>-8.7559488506272487E-4</v>
      </c>
      <c r="O94" s="32">
        <v>2.5724307898580823E-2</v>
      </c>
      <c r="P94" s="32">
        <v>-2.2808317512072129E-2</v>
      </c>
      <c r="Q94" s="32">
        <v>2.3129348500470215E-3</v>
      </c>
      <c r="R94" s="32">
        <v>-7.3089447256686757E-3</v>
      </c>
      <c r="S94" s="32">
        <v>-1.4073638243447983E-2</v>
      </c>
      <c r="T94" s="32">
        <v>5.5822427861645041E-2</v>
      </c>
    </row>
    <row r="95" spans="1:20" x14ac:dyDescent="0.25">
      <c r="A95" s="81" t="s">
        <v>177</v>
      </c>
      <c r="B95" s="162" t="s">
        <v>173</v>
      </c>
      <c r="C95" s="102">
        <f>Calculations!$H$166+Calculations!$H$168+Calculations!$H$169</f>
        <v>5715.421919565646</v>
      </c>
      <c r="D95" s="159">
        <v>5715.421919565646</v>
      </c>
      <c r="E95" s="159">
        <v>-7288.707857096213</v>
      </c>
      <c r="F95" s="159">
        <v>-601.78296611321025</v>
      </c>
      <c r="G95" s="159">
        <v>-1229.4056949133465</v>
      </c>
      <c r="H95" s="159">
        <v>4078.8228643223797</v>
      </c>
      <c r="I95" s="159">
        <v>-976.07971907550063</v>
      </c>
      <c r="J95" s="159">
        <v>847.30440907430659</v>
      </c>
      <c r="K95" s="159">
        <v>-1506.0708492836848</v>
      </c>
      <c r="L95" s="159">
        <v>-438.27536219439605</v>
      </c>
      <c r="M95" s="159">
        <v>825.72244290260869</v>
      </c>
      <c r="N95" s="159">
        <v>-3264.7639255236304</v>
      </c>
      <c r="O95" s="159">
        <v>1108.7857145015216</v>
      </c>
      <c r="P95" s="159">
        <v>-2009.7605497249758</v>
      </c>
      <c r="Q95" s="159">
        <v>94.315275371703819</v>
      </c>
      <c r="R95" s="159">
        <v>-34316.86232155074</v>
      </c>
      <c r="S95" s="159">
        <v>-16496.047709196508</v>
      </c>
      <c r="T95" s="159">
        <v>17259.809380640825</v>
      </c>
    </row>
    <row r="96" spans="1:20" x14ac:dyDescent="0.25">
      <c r="A96" s="81" t="s">
        <v>285</v>
      </c>
      <c r="B96" s="162" t="s">
        <v>284</v>
      </c>
      <c r="C96" s="117">
        <f>'5 year CPRG'!B26</f>
        <v>4.5039390352736956E-2</v>
      </c>
      <c r="D96" s="175">
        <v>4.5039390352736956E-2</v>
      </c>
      <c r="E96" s="175">
        <v>-4.452483272801349E-2</v>
      </c>
      <c r="F96" s="175">
        <v>-3.0003383813477736E-3</v>
      </c>
      <c r="G96" s="175">
        <v>-9.5466850901752293E-3</v>
      </c>
      <c r="H96" s="175">
        <v>3.4248199849110955E-2</v>
      </c>
      <c r="I96" s="175">
        <v>-2.2396349696528754E-2</v>
      </c>
      <c r="J96" s="175">
        <v>1.1969239571169622E-2</v>
      </c>
      <c r="K96" s="175">
        <v>-3.2616732610228079E-2</v>
      </c>
      <c r="L96" s="175">
        <v>7.6539962367588163E-3</v>
      </c>
      <c r="M96" s="175">
        <v>2.2176317810002785E-4</v>
      </c>
      <c r="N96" s="175">
        <v>-2.0238679355019974E-2</v>
      </c>
      <c r="O96" s="175">
        <v>7.3116771493658778E-2</v>
      </c>
      <c r="P96" s="175">
        <v>-3.5724698420110668E-2</v>
      </c>
      <c r="Q96" s="175">
        <v>-3.8153168318568196E-3</v>
      </c>
      <c r="R96" s="175">
        <v>-3.0250292198132439E-2</v>
      </c>
      <c r="S96" s="175">
        <v>-4.1578613119866742E-2</v>
      </c>
      <c r="T96" s="175">
        <v>0</v>
      </c>
    </row>
    <row r="97" spans="1:20" ht="35.25" customHeight="1" x14ac:dyDescent="0.35">
      <c r="A97" s="134" t="s">
        <v>245</v>
      </c>
      <c r="D97" s="161">
        <v>0</v>
      </c>
      <c r="E97" s="161">
        <v>0</v>
      </c>
      <c r="F97" s="161">
        <v>0</v>
      </c>
      <c r="G97" s="161">
        <v>0</v>
      </c>
      <c r="H97" s="161">
        <v>0</v>
      </c>
      <c r="I97" s="161">
        <v>0</v>
      </c>
      <c r="J97" s="161">
        <v>0</v>
      </c>
      <c r="K97" s="161">
        <v>0</v>
      </c>
      <c r="L97" s="161">
        <v>0</v>
      </c>
      <c r="M97" s="161">
        <v>0</v>
      </c>
      <c r="N97" s="161">
        <v>0</v>
      </c>
      <c r="O97" s="161">
        <v>0</v>
      </c>
      <c r="P97" s="161">
        <v>0</v>
      </c>
      <c r="Q97" s="161">
        <v>0</v>
      </c>
      <c r="R97" s="161">
        <v>0</v>
      </c>
      <c r="S97" s="161">
        <v>0</v>
      </c>
      <c r="T97" s="161">
        <v>0</v>
      </c>
    </row>
    <row r="98" spans="1:20" x14ac:dyDescent="0.25">
      <c r="A98" s="81" t="s">
        <v>246</v>
      </c>
      <c r="B98" s="162" t="s">
        <v>180</v>
      </c>
      <c r="C98" s="117">
        <f>Calculations!B236</f>
        <v>-2.666652829047389E-2</v>
      </c>
      <c r="D98" s="32">
        <v>-2.666652829047389E-2</v>
      </c>
      <c r="E98" s="32">
        <v>-6.6453792389498112E-3</v>
      </c>
      <c r="F98" s="32">
        <v>-3.3792233464058241E-2</v>
      </c>
      <c r="G98" s="32">
        <v>-4.6256354238382036E-3</v>
      </c>
      <c r="H98" s="32">
        <v>-3.7578128013474044E-2</v>
      </c>
      <c r="I98" s="32">
        <v>-1.2210842186732962E-2</v>
      </c>
      <c r="J98" s="32">
        <v>-4.7895384291261056E-3</v>
      </c>
      <c r="K98" s="32">
        <v>-1.4846278599938589E-2</v>
      </c>
      <c r="L98" s="32">
        <v>-0.108582786231051</v>
      </c>
      <c r="M98" s="32">
        <v>-7.2410305482775161E-3</v>
      </c>
      <c r="N98" s="32">
        <v>-6.9158138613212294E-3</v>
      </c>
      <c r="O98" s="32">
        <v>-0.16514930930770966</v>
      </c>
      <c r="P98" s="32">
        <v>-0.12421745731325029</v>
      </c>
      <c r="Q98" s="32">
        <v>-2.7209219072399371E-3</v>
      </c>
      <c r="R98" s="32">
        <v>-1.4259843256281268E-4</v>
      </c>
      <c r="S98" s="32">
        <v>-3.1217140444367297E-3</v>
      </c>
      <c r="T98" s="32">
        <v>-6.2375145234919716E-3</v>
      </c>
    </row>
    <row r="99" spans="1:20" x14ac:dyDescent="0.25">
      <c r="A99" s="81" t="s">
        <v>247</v>
      </c>
      <c r="B99" s="162" t="s">
        <v>180</v>
      </c>
      <c r="C99" s="170">
        <f>Calculations!H171</f>
        <v>46.361373998947933</v>
      </c>
      <c r="D99" s="147">
        <v>46.361373998947933</v>
      </c>
      <c r="E99" s="147">
        <v>7773.4906637980594</v>
      </c>
      <c r="F99" s="147">
        <v>407.1965089194112</v>
      </c>
      <c r="G99" s="147">
        <v>-382.45436777256947</v>
      </c>
      <c r="H99" s="147">
        <v>246.00836685760854</v>
      </c>
      <c r="I99" s="147">
        <v>-160.76513459340504</v>
      </c>
      <c r="J99" s="147">
        <v>312.68570547907404</v>
      </c>
      <c r="K99" s="147">
        <v>482.53123289871405</v>
      </c>
      <c r="L99" s="147">
        <v>1221.1454330417719</v>
      </c>
      <c r="M99" s="147">
        <v>1678.3583664362934</v>
      </c>
      <c r="N99" s="147">
        <v>813.0386913627076</v>
      </c>
      <c r="O99" s="147">
        <v>-159.87108176560213</v>
      </c>
      <c r="P99" s="147">
        <v>2045.6637603930615</v>
      </c>
      <c r="Q99" s="147">
        <v>1875.0139244308493</v>
      </c>
      <c r="R99" s="147">
        <v>-13346.450774158628</v>
      </c>
      <c r="S99" s="147">
        <v>490.37809055456046</v>
      </c>
      <c r="T99" s="147">
        <v>42684.614442873353</v>
      </c>
    </row>
    <row r="100" spans="1:20" s="185" customFormat="1" x14ac:dyDescent="0.25">
      <c r="A100" s="171"/>
      <c r="B100" s="172"/>
      <c r="C100" s="173"/>
      <c r="D100" s="176">
        <v>0</v>
      </c>
      <c r="E100" s="176">
        <v>0</v>
      </c>
      <c r="F100" s="176">
        <v>0</v>
      </c>
      <c r="G100" s="176">
        <v>0</v>
      </c>
      <c r="H100" s="176">
        <v>0</v>
      </c>
      <c r="I100" s="176">
        <v>0</v>
      </c>
      <c r="J100" s="176">
        <v>0</v>
      </c>
      <c r="K100" s="176">
        <v>0</v>
      </c>
      <c r="L100" s="176">
        <v>0</v>
      </c>
      <c r="M100" s="176">
        <v>0</v>
      </c>
      <c r="N100" s="176">
        <v>0</v>
      </c>
      <c r="O100" s="176">
        <v>0</v>
      </c>
      <c r="P100" s="176">
        <v>0</v>
      </c>
      <c r="Q100" s="176">
        <v>0</v>
      </c>
      <c r="R100" s="176">
        <v>0</v>
      </c>
      <c r="S100" s="176">
        <v>0</v>
      </c>
      <c r="T100" s="176">
        <v>0</v>
      </c>
    </row>
  </sheetData>
  <pageMargins left="0.25" right="0.25" top="0.75" bottom="0.75" header="0.3" footer="0.3"/>
  <pageSetup paperSize="9" scale="39" fitToHeight="0" orientation="landscape" r:id="rId1"/>
  <headerFooter>
    <oddFooter>&amp;L&amp;F&amp;C&amp;A&amp;R&amp;P</oddFooter>
  </headerFooter>
  <rowBreaks count="1" manualBreakCount="1">
    <brk id="4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D97E55"/>
    <pageSetUpPr fitToPage="1"/>
  </sheetPr>
  <dimension ref="A1:H27"/>
  <sheetViews>
    <sheetView showGridLines="0" view="pageBreakPreview" zoomScaleSheetLayoutView="100" workbookViewId="0"/>
  </sheetViews>
  <sheetFormatPr defaultColWidth="12.42578125" defaultRowHeight="15" x14ac:dyDescent="0.25"/>
  <cols>
    <col min="1" max="1" width="69.28515625" style="11" bestFit="1" customWidth="1"/>
    <col min="2" max="2" width="13.85546875" style="12" customWidth="1"/>
    <col min="3" max="7" width="12.42578125" style="11" customWidth="1"/>
    <col min="8" max="8" width="2.7109375" style="17" customWidth="1"/>
    <col min="9" max="16384" width="12.42578125" style="11"/>
  </cols>
  <sheetData>
    <row r="1" spans="1:7" ht="26.25" customHeight="1" x14ac:dyDescent="0.25">
      <c r="A1" s="89" t="s">
        <v>66</v>
      </c>
      <c r="B1" s="17"/>
      <c r="C1" s="17"/>
      <c r="D1" s="17"/>
      <c r="E1" s="17"/>
      <c r="F1" s="17"/>
      <c r="G1" s="17"/>
    </row>
    <row r="2" spans="1:7" x14ac:dyDescent="0.25">
      <c r="A2" s="42"/>
      <c r="B2" s="17"/>
      <c r="C2" s="17"/>
      <c r="D2" s="17"/>
      <c r="E2" s="17"/>
      <c r="F2" s="17"/>
      <c r="G2" s="17"/>
    </row>
    <row r="3" spans="1:7" ht="30" customHeight="1" x14ac:dyDescent="0.35">
      <c r="A3" s="116" t="str">
        <f>Selection!B6</f>
        <v>Alpine Energy</v>
      </c>
      <c r="C3" s="11">
        <f>Selection!C6</f>
        <v>1</v>
      </c>
      <c r="D3" s="11">
        <f>Selection!D6</f>
        <v>1</v>
      </c>
    </row>
    <row r="4" spans="1:7" x14ac:dyDescent="0.25">
      <c r="A4" s="44" t="s">
        <v>69</v>
      </c>
      <c r="B4" s="15" t="s">
        <v>27</v>
      </c>
      <c r="C4" s="15">
        <v>2011</v>
      </c>
      <c r="D4" s="15">
        <v>2012</v>
      </c>
      <c r="E4" s="15">
        <v>2013</v>
      </c>
      <c r="F4" s="15">
        <v>2014</v>
      </c>
      <c r="G4" s="15">
        <v>2015</v>
      </c>
    </row>
    <row r="5" spans="1:7" s="17" customFormat="1" x14ac:dyDescent="0.25">
      <c r="A5" s="41" t="s">
        <v>47</v>
      </c>
      <c r="B5" s="105"/>
      <c r="C5" s="117">
        <f>Calculations!C138</f>
        <v>0</v>
      </c>
      <c r="D5" s="117">
        <f>Calculations!D138</f>
        <v>-1.8777537301403968E-2</v>
      </c>
      <c r="E5" s="117">
        <f>Calculations!E138</f>
        <v>4.5256691926713E-2</v>
      </c>
      <c r="F5" s="117">
        <f>Calculations!F138</f>
        <v>4.477852158221074E-2</v>
      </c>
      <c r="G5" s="117">
        <f>Calculations!G138</f>
        <v>9.3714769788851626E-2</v>
      </c>
    </row>
    <row r="6" spans="1:7" s="17" customFormat="1" x14ac:dyDescent="0.25">
      <c r="A6" s="81" t="s">
        <v>197</v>
      </c>
      <c r="B6" s="105"/>
      <c r="C6" s="117">
        <f>Calculations!C28</f>
        <v>5.4803237473893323E-3</v>
      </c>
      <c r="D6" s="117">
        <f>Calculations!D28</f>
        <v>5.4803237473893323E-3</v>
      </c>
      <c r="E6" s="117">
        <f>Calculations!E28</f>
        <v>5.4803237473893323E-3</v>
      </c>
      <c r="F6" s="117">
        <f>Calculations!F28</f>
        <v>5.4803237473893323E-3</v>
      </c>
      <c r="G6" s="117">
        <f>Calculations!G28</f>
        <v>5.4803237473893323E-3</v>
      </c>
    </row>
    <row r="7" spans="1:7" s="17" customFormat="1" x14ac:dyDescent="0.25">
      <c r="A7" s="81" t="s">
        <v>198</v>
      </c>
      <c r="B7" s="105"/>
      <c r="C7" s="105">
        <v>4</v>
      </c>
      <c r="D7" s="105">
        <v>3</v>
      </c>
      <c r="E7" s="105">
        <v>2</v>
      </c>
      <c r="F7" s="105">
        <v>1</v>
      </c>
      <c r="G7" s="105">
        <v>0</v>
      </c>
    </row>
    <row r="8" spans="1:7" s="17" customFormat="1" x14ac:dyDescent="0.25">
      <c r="A8" s="81" t="s">
        <v>12</v>
      </c>
      <c r="B8" s="174">
        <f>Selection!B19</f>
        <v>8.77E-2</v>
      </c>
      <c r="C8" s="105"/>
      <c r="D8" s="105"/>
      <c r="E8" s="105"/>
      <c r="F8" s="105"/>
      <c r="G8" s="105"/>
    </row>
    <row r="9" spans="1:7" s="17" customFormat="1" ht="30" customHeight="1" x14ac:dyDescent="0.25">
      <c r="A9" s="18"/>
      <c r="B9" s="18"/>
      <c r="C9" s="18"/>
      <c r="D9" s="18"/>
      <c r="E9" s="18"/>
      <c r="F9" s="18"/>
      <c r="G9" s="18"/>
    </row>
    <row r="10" spans="1:7" s="17" customFormat="1" x14ac:dyDescent="0.25">
      <c r="A10" s="44" t="s">
        <v>70</v>
      </c>
      <c r="B10" s="15" t="s">
        <v>27</v>
      </c>
      <c r="C10" s="15">
        <v>2011</v>
      </c>
      <c r="D10" s="15">
        <v>2012</v>
      </c>
      <c r="E10" s="15">
        <v>2013</v>
      </c>
      <c r="F10" s="15">
        <v>2014</v>
      </c>
      <c r="G10" s="15">
        <v>2015</v>
      </c>
    </row>
    <row r="11" spans="1:7" s="17" customFormat="1" x14ac:dyDescent="0.25">
      <c r="A11" s="81" t="s">
        <v>199</v>
      </c>
      <c r="B11" s="18"/>
      <c r="C11" s="18">
        <v>1</v>
      </c>
      <c r="D11" s="152">
        <f t="shared" ref="D11:G12" si="0">1+D5</f>
        <v>0.98122246269859603</v>
      </c>
      <c r="E11" s="152">
        <f t="shared" si="0"/>
        <v>1.045256691926713</v>
      </c>
      <c r="F11" s="152">
        <f t="shared" si="0"/>
        <v>1.0447785215822107</v>
      </c>
      <c r="G11" s="152">
        <f t="shared" si="0"/>
        <v>1.0937147697888516</v>
      </c>
    </row>
    <row r="12" spans="1:7" s="17" customFormat="1" x14ac:dyDescent="0.25">
      <c r="A12" s="81" t="s">
        <v>200</v>
      </c>
      <c r="B12" s="18"/>
      <c r="C12" s="18">
        <v>1</v>
      </c>
      <c r="D12" s="152">
        <f t="shared" si="0"/>
        <v>1.0054803237473893</v>
      </c>
      <c r="E12" s="152">
        <f t="shared" si="0"/>
        <v>1.0054803237473893</v>
      </c>
      <c r="F12" s="152">
        <f t="shared" si="0"/>
        <v>1.0054803237473893</v>
      </c>
      <c r="G12" s="152">
        <f t="shared" si="0"/>
        <v>1.0054803237473893</v>
      </c>
    </row>
    <row r="13" spans="1:7" s="17" customFormat="1" x14ac:dyDescent="0.25">
      <c r="A13" s="18"/>
      <c r="B13" s="18"/>
      <c r="C13" s="18"/>
      <c r="D13" s="18"/>
      <c r="E13" s="18"/>
      <c r="F13" s="18"/>
      <c r="G13" s="18"/>
    </row>
    <row r="14" spans="1:7" s="17" customFormat="1" x14ac:dyDescent="0.25">
      <c r="A14" s="81" t="s">
        <v>199</v>
      </c>
      <c r="B14" s="18"/>
      <c r="C14" s="18">
        <v>1</v>
      </c>
      <c r="D14" s="153">
        <f>PRODUCT($D$11:D11)</f>
        <v>0.98122246269859603</v>
      </c>
      <c r="E14" s="153">
        <f>PRODUCT($D$11:E11)</f>
        <v>1.0256293454045171</v>
      </c>
      <c r="F14" s="153">
        <f>PRODUCT($D$11:F11)</f>
        <v>1.0715555111830619</v>
      </c>
      <c r="G14" s="153">
        <f>PRODUCT($D$11:G11)</f>
        <v>1.1719760892295579</v>
      </c>
    </row>
    <row r="15" spans="1:7" s="17" customFormat="1" x14ac:dyDescent="0.25">
      <c r="A15" s="81" t="s">
        <v>200</v>
      </c>
      <c r="B15" s="18"/>
      <c r="C15" s="18">
        <v>1</v>
      </c>
      <c r="D15" s="153">
        <f>PRODUCT($D$12:D12)</f>
        <v>1.0054803237473893</v>
      </c>
      <c r="E15" s="153">
        <f>PRODUCT($D$12:E12)</f>
        <v>1.0109906814431548</v>
      </c>
      <c r="F15" s="153">
        <f>PRODUCT($D$12:F12)</f>
        <v>1.0165312376830571</v>
      </c>
      <c r="G15" s="153">
        <f>PRODUCT($D$12:G12)</f>
        <v>1.0221021579648946</v>
      </c>
    </row>
    <row r="16" spans="1:7" s="17" customFormat="1" x14ac:dyDescent="0.25">
      <c r="A16" s="41"/>
      <c r="B16" s="18"/>
      <c r="C16" s="39"/>
      <c r="D16" s="39"/>
      <c r="E16" s="39"/>
      <c r="F16" s="39"/>
      <c r="G16" s="39"/>
    </row>
    <row r="17" spans="1:7" s="17" customFormat="1" x14ac:dyDescent="0.25">
      <c r="A17" s="81" t="s">
        <v>203</v>
      </c>
      <c r="B17" s="18"/>
      <c r="C17" s="39">
        <f>(1+$B$8)^C7</f>
        <v>1.3997050004738634</v>
      </c>
      <c r="D17" s="39">
        <f t="shared" ref="D17:G17" si="1">(1+$B$8)^D7</f>
        <v>1.2868483961329995</v>
      </c>
      <c r="E17" s="39">
        <f t="shared" si="1"/>
        <v>1.1830912899999997</v>
      </c>
      <c r="F17" s="39">
        <f t="shared" si="1"/>
        <v>1.0876999999999999</v>
      </c>
      <c r="G17" s="39">
        <f t="shared" si="1"/>
        <v>1</v>
      </c>
    </row>
    <row r="18" spans="1:7" s="17" customFormat="1" x14ac:dyDescent="0.25">
      <c r="A18" s="81" t="s">
        <v>202</v>
      </c>
      <c r="B18" s="18"/>
      <c r="C18" s="40">
        <f>1/C17</f>
        <v>0.7144362559692613</v>
      </c>
      <c r="D18" s="40">
        <f t="shared" ref="D18:F18" si="2">1/D17</f>
        <v>0.77709231561776537</v>
      </c>
      <c r="E18" s="40">
        <f t="shared" si="2"/>
        <v>0.84524331169744327</v>
      </c>
      <c r="F18" s="40">
        <f t="shared" si="2"/>
        <v>0.91937115013330895</v>
      </c>
      <c r="G18" s="40">
        <f>1/G17</f>
        <v>1</v>
      </c>
    </row>
    <row r="19" spans="1:7" s="17" customFormat="1" x14ac:dyDescent="0.25">
      <c r="A19" s="41"/>
      <c r="B19" s="18"/>
      <c r="C19" s="40"/>
      <c r="D19" s="40"/>
      <c r="E19" s="40"/>
      <c r="F19" s="40"/>
      <c r="G19" s="40"/>
    </row>
    <row r="20" spans="1:7" s="17" customFormat="1" x14ac:dyDescent="0.25">
      <c r="A20" s="81" t="s">
        <v>204</v>
      </c>
      <c r="C20" s="40">
        <f>C18*C14</f>
        <v>0.7144362559692613</v>
      </c>
      <c r="D20" s="40">
        <f t="shared" ref="D20:F20" si="3">D18*D14</f>
        <v>0.76250043567461845</v>
      </c>
      <c r="E20" s="40">
        <f t="shared" si="3"/>
        <v>0.866906344483795</v>
      </c>
      <c r="F20" s="40">
        <f t="shared" si="3"/>
        <v>0.98515722274805739</v>
      </c>
      <c r="G20" s="40">
        <f>G18*G14</f>
        <v>1.1719760892295579</v>
      </c>
    </row>
    <row r="21" spans="1:7" s="17" customFormat="1" x14ac:dyDescent="0.25">
      <c r="A21" s="81" t="s">
        <v>205</v>
      </c>
      <c r="B21" s="18"/>
      <c r="C21" s="40">
        <f t="shared" ref="C21:F21" si="4">C18*C15</f>
        <v>0.7144362559692613</v>
      </c>
      <c r="D21" s="40">
        <f t="shared" si="4"/>
        <v>0.78135103308895915</v>
      </c>
      <c r="E21" s="40">
        <f t="shared" si="4"/>
        <v>0.85453311167826707</v>
      </c>
      <c r="F21" s="40">
        <f t="shared" si="4"/>
        <v>0.93456949313510829</v>
      </c>
      <c r="G21" s="40">
        <f>G18*G15</f>
        <v>1.0221021579648946</v>
      </c>
    </row>
    <row r="22" spans="1:7" s="17" customFormat="1" x14ac:dyDescent="0.25">
      <c r="A22" s="41"/>
      <c r="B22" s="18"/>
      <c r="C22" s="40"/>
      <c r="D22" s="40"/>
      <c r="E22" s="40"/>
      <c r="F22" s="40"/>
      <c r="G22" s="40"/>
    </row>
    <row r="23" spans="1:7" s="17" customFormat="1" x14ac:dyDescent="0.25">
      <c r="A23" s="81" t="s">
        <v>207</v>
      </c>
      <c r="B23" s="154">
        <f>SUM(C20:G20)</f>
        <v>4.50097634810529</v>
      </c>
      <c r="C23" s="40"/>
      <c r="D23" s="40"/>
      <c r="E23" s="40"/>
      <c r="F23" s="40"/>
      <c r="G23" s="40"/>
    </row>
    <row r="24" spans="1:7" s="17" customFormat="1" x14ac:dyDescent="0.25">
      <c r="A24" s="81" t="s">
        <v>206</v>
      </c>
      <c r="B24" s="154">
        <f>SUM(C21:G21)</f>
        <v>4.3069920518364908</v>
      </c>
      <c r="C24" s="40"/>
      <c r="D24" s="40"/>
      <c r="E24" s="40"/>
      <c r="F24" s="40"/>
      <c r="G24" s="40"/>
    </row>
    <row r="25" spans="1:7" s="17" customFormat="1" x14ac:dyDescent="0.25">
      <c r="A25" s="41"/>
      <c r="B25" s="154"/>
      <c r="C25" s="40"/>
      <c r="D25" s="40"/>
      <c r="E25" s="40"/>
      <c r="F25" s="40"/>
      <c r="G25" s="40"/>
    </row>
    <row r="26" spans="1:7" s="17" customFormat="1" x14ac:dyDescent="0.25">
      <c r="A26" s="81" t="s">
        <v>201</v>
      </c>
      <c r="B26" s="80">
        <f>IF(D3=10,0,(B23-B24)/B24)</f>
        <v>4.5039390352736956E-2</v>
      </c>
      <c r="C26" s="40"/>
      <c r="D26" s="40"/>
      <c r="E26" s="40"/>
      <c r="F26" s="40"/>
      <c r="G26" s="40"/>
    </row>
    <row r="27" spans="1:7" s="17" customFormat="1" x14ac:dyDescent="0.25">
      <c r="A27" s="41"/>
      <c r="B27" s="18"/>
      <c r="C27" s="40"/>
      <c r="D27" s="40"/>
      <c r="E27" s="40"/>
      <c r="F27" s="40"/>
      <c r="G27" s="40"/>
    </row>
  </sheetData>
  <pageMargins left="0.70866141732283472" right="0.70866141732283472" top="0.74803149606299213" bottom="0.74803149606299213" header="0.31496062992125984" footer="0.31496062992125984"/>
  <pageSetup paperSize="9" scale="88" fitToHeight="0" orientation="landscape" r:id="rId1"/>
  <headerFooter>
    <oddFooter>&amp;L&amp;F&amp;C&amp;A&amp;R&amp;P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2" tint="0.79998168889431442"/>
    <pageSetUpPr fitToPage="1"/>
  </sheetPr>
  <dimension ref="A1:AN44"/>
  <sheetViews>
    <sheetView showGridLines="0" view="pageBreakPreview" zoomScaleNormal="100" zoomScaleSheetLayoutView="100" workbookViewId="0"/>
  </sheetViews>
  <sheetFormatPr defaultRowHeight="15" x14ac:dyDescent="0.25"/>
  <cols>
    <col min="1" max="1" width="22.85546875" customWidth="1"/>
    <col min="2" max="4" width="14" customWidth="1"/>
    <col min="5" max="5" width="2.7109375" customWidth="1"/>
    <col min="6" max="6" width="2.85546875" customWidth="1"/>
    <col min="7" max="7" width="14" customWidth="1"/>
    <col min="8" max="8" width="3.140625" customWidth="1"/>
    <col min="9" max="9" width="14" customWidth="1"/>
    <col min="10" max="10" width="10.28515625" customWidth="1"/>
    <col min="11" max="11" width="2.7109375" customWidth="1"/>
    <col min="12" max="12" width="2.85546875" customWidth="1"/>
    <col min="13" max="13" width="14" customWidth="1"/>
    <col min="14" max="14" width="10.28515625" style="17" customWidth="1"/>
    <col min="15" max="15" width="3.140625" customWidth="1"/>
    <col min="16" max="16" width="14" customWidth="1"/>
    <col min="17" max="17" width="10.28515625" customWidth="1"/>
    <col min="18" max="18" width="2.7109375" customWidth="1"/>
    <col min="19" max="19" width="2.85546875" customWidth="1"/>
    <col min="20" max="20" width="14" customWidth="1"/>
    <col min="21" max="21" width="10.28515625" customWidth="1"/>
    <col min="22" max="22" width="3.140625" customWidth="1"/>
    <col min="23" max="23" width="14" customWidth="1"/>
    <col min="24" max="24" width="10.28515625" customWidth="1"/>
    <col min="25" max="25" width="2.7109375" customWidth="1"/>
    <col min="26" max="26" width="2.85546875" customWidth="1"/>
    <col min="27" max="27" width="14" customWidth="1"/>
    <col min="28" max="28" width="10.28515625" customWidth="1"/>
    <col min="29" max="29" width="3.140625" customWidth="1"/>
    <col min="30" max="30" width="14" customWidth="1"/>
    <col min="31" max="32" width="10.28515625" customWidth="1"/>
    <col min="33" max="33" width="2.7109375" customWidth="1"/>
    <col min="34" max="34" width="2.85546875" customWidth="1"/>
    <col min="35" max="35" width="14" customWidth="1"/>
    <col min="36" max="36" width="10.28515625" customWidth="1"/>
    <col min="37" max="37" width="3.140625" customWidth="1"/>
    <col min="38" max="38" width="14" customWidth="1"/>
    <col min="39" max="39" width="10.28515625" customWidth="1"/>
    <col min="40" max="40" width="2.7109375" customWidth="1"/>
  </cols>
  <sheetData>
    <row r="1" spans="1:40" ht="26.25" x14ac:dyDescent="0.4">
      <c r="A1" s="14" t="s">
        <v>126</v>
      </c>
      <c r="B1" s="17"/>
      <c r="C1" s="17"/>
    </row>
    <row r="2" spans="1:40" x14ac:dyDescent="0.25">
      <c r="A2" s="42"/>
      <c r="B2" s="17"/>
      <c r="C2" s="17"/>
    </row>
    <row r="3" spans="1:40" ht="21" x14ac:dyDescent="0.35">
      <c r="A3" s="82" t="s">
        <v>129</v>
      </c>
      <c r="B3" s="17"/>
      <c r="C3" s="17"/>
      <c r="L3" s="82" t="s">
        <v>253</v>
      </c>
      <c r="S3" s="82" t="s">
        <v>191</v>
      </c>
      <c r="T3" s="17"/>
      <c r="U3" s="17"/>
      <c r="V3" s="17"/>
      <c r="W3" s="17"/>
      <c r="X3" s="17"/>
      <c r="Z3" s="82" t="s">
        <v>282</v>
      </c>
      <c r="AG3" s="17"/>
      <c r="AH3" s="82" t="s">
        <v>285</v>
      </c>
      <c r="AI3" s="17"/>
      <c r="AJ3" s="17"/>
      <c r="AK3" s="17"/>
      <c r="AL3" s="17"/>
      <c r="AM3" s="17"/>
      <c r="AN3" s="17"/>
    </row>
    <row r="4" spans="1:40" x14ac:dyDescent="0.25">
      <c r="A4" s="83"/>
      <c r="B4" s="84" t="s">
        <v>9</v>
      </c>
      <c r="C4" s="84" t="s">
        <v>127</v>
      </c>
      <c r="D4" s="84" t="s">
        <v>128</v>
      </c>
      <c r="F4" s="166" t="s">
        <v>85</v>
      </c>
      <c r="G4" s="166" t="s">
        <v>237</v>
      </c>
      <c r="H4" s="166" t="s">
        <v>85</v>
      </c>
      <c r="I4" s="166" t="s">
        <v>237</v>
      </c>
      <c r="J4" s="166" t="s">
        <v>128</v>
      </c>
      <c r="L4" s="166" t="s">
        <v>85</v>
      </c>
      <c r="M4" s="166" t="s">
        <v>237</v>
      </c>
      <c r="N4" s="166" t="s">
        <v>128</v>
      </c>
      <c r="O4" s="166" t="s">
        <v>85</v>
      </c>
      <c r="P4" s="166" t="s">
        <v>237</v>
      </c>
      <c r="Q4" s="166" t="s">
        <v>128</v>
      </c>
      <c r="S4" s="166" t="s">
        <v>85</v>
      </c>
      <c r="T4" s="166" t="s">
        <v>237</v>
      </c>
      <c r="U4" s="166" t="s">
        <v>128</v>
      </c>
      <c r="V4" s="166" t="s">
        <v>85</v>
      </c>
      <c r="W4" s="166" t="s">
        <v>237</v>
      </c>
      <c r="X4" s="166" t="s">
        <v>128</v>
      </c>
      <c r="Z4" s="166" t="s">
        <v>85</v>
      </c>
      <c r="AA4" s="166" t="s">
        <v>237</v>
      </c>
      <c r="AB4" s="166" t="s">
        <v>128</v>
      </c>
      <c r="AC4" s="166" t="s">
        <v>85</v>
      </c>
      <c r="AD4" s="166" t="s">
        <v>237</v>
      </c>
      <c r="AE4" s="166" t="s">
        <v>128</v>
      </c>
      <c r="AF4" s="166" t="s">
        <v>128</v>
      </c>
      <c r="AG4" s="17"/>
      <c r="AH4" s="166" t="s">
        <v>85</v>
      </c>
      <c r="AI4" s="166" t="s">
        <v>237</v>
      </c>
      <c r="AJ4" s="166" t="s">
        <v>128</v>
      </c>
      <c r="AK4" s="166" t="s">
        <v>85</v>
      </c>
      <c r="AL4" s="166" t="s">
        <v>237</v>
      </c>
      <c r="AM4" s="166" t="s">
        <v>128</v>
      </c>
      <c r="AN4" s="17"/>
    </row>
    <row r="5" spans="1:40" x14ac:dyDescent="0.25">
      <c r="A5" s="85" t="s">
        <v>216</v>
      </c>
      <c r="B5" s="86">
        <f>INDEX(Output!$D$92:$T$92,MATCH(Charts!$A5,Output!$D$4:$T$4,0))</f>
        <v>5.4803237473892707E-3</v>
      </c>
      <c r="C5" s="86">
        <f>INDEX(Output!$D$93:$T$93,MATCH(Charts!$A5,Output!$D$4:$T$4,0))</f>
        <v>6.1004167666081965E-2</v>
      </c>
      <c r="D5" s="86">
        <f>INDEX(Output!$D$94:$T$94,MATCH(Charts!$A5,Output!$D$4:$T$4,0))</f>
        <v>5.5523843918692695E-2</v>
      </c>
      <c r="F5" s="85">
        <f t="shared" ref="F5:F20" si="0">RANK(D5,$D$5:$D$20,0)</f>
        <v>1</v>
      </c>
      <c r="G5" s="85" t="s">
        <v>216</v>
      </c>
      <c r="H5" s="85">
        <v>1</v>
      </c>
      <c r="I5" s="85" t="str">
        <f t="shared" ref="I5:I20" si="1">VLOOKUP(H5,$F$5:$G$20,2,FALSE)</f>
        <v>Alpine Energy</v>
      </c>
      <c r="J5" s="85">
        <f>VLOOKUP(I5,$A$5:$D$20,4,FALSE)*100</f>
        <v>5.5523843918692695</v>
      </c>
      <c r="L5" s="85">
        <f>RANK(N5,$N$5:$N$20,0)</f>
        <v>11</v>
      </c>
      <c r="M5" s="85" t="s">
        <v>216</v>
      </c>
      <c r="N5" s="85">
        <f>INDEX(Output!$D$98:$T$98,MATCH(Charts!$M5,Output!$D$4:$T$4,0))</f>
        <v>-2.666652829047389E-2</v>
      </c>
      <c r="O5" s="85">
        <v>1</v>
      </c>
      <c r="P5" s="85" t="str">
        <f>VLOOKUP(O5,$L$5:$M$20,2,FALSE)</f>
        <v>Vector Lines</v>
      </c>
      <c r="Q5" s="85">
        <f>INDEX(Output!$D$98:$T$98,MATCH(Charts!$P5,Output!$D$4:$T$4,0))*100</f>
        <v>-1.4259843256281268E-2</v>
      </c>
      <c r="S5" s="85">
        <f>RANK(U5,$U$5:$U$20,0)</f>
        <v>12</v>
      </c>
      <c r="T5" s="85" t="s">
        <v>216</v>
      </c>
      <c r="U5" s="85">
        <f>INDEX(Output!$D$99:$T$99,MATCH(Charts!$T5,Output!$D$4:$T$4,0))</f>
        <v>46.361373998947933</v>
      </c>
      <c r="V5" s="85">
        <v>1</v>
      </c>
      <c r="W5" s="85" t="str">
        <f>VLOOKUP(V5,$S$5:$T$20,2,FALSE)</f>
        <v>Aurora Energy</v>
      </c>
      <c r="X5" s="85">
        <f>INDEX(Output!$D$99:$T$99,MATCH(Charts!$W5,Output!$D$4:$T$4,0))*1000</f>
        <v>7773490.6637980593</v>
      </c>
      <c r="Z5" s="85">
        <f>RANK(AB5,$AB$5:$AB$20,1)</f>
        <v>16</v>
      </c>
      <c r="AA5" s="85" t="s">
        <v>216</v>
      </c>
      <c r="AB5" s="85">
        <f>INDEX(Output!$D$89:$T$89,MATCH(Charts!$AA5,Output!$D$4:$T$4,0))/1000</f>
        <v>33.976590189999683</v>
      </c>
      <c r="AC5" s="85">
        <v>1</v>
      </c>
      <c r="AD5" s="85" t="str">
        <f>VLOOKUP(AC5,$Z$5:$AA$20,2,FALSE)</f>
        <v>Vector Lines</v>
      </c>
      <c r="AE5" s="85">
        <f>INDEX(Output!$D$89:$T$89,MATCH(Charts!$AD5,Output!$D$4:$T$4,0))/1000</f>
        <v>-112.59687241699497</v>
      </c>
      <c r="AF5" s="85">
        <f>INDEX(Output!$D$89:$T$89,MATCH(Charts!$AD5,Output!$D$4:$T$4,0))/INDEX(Output!$D$90:$T$90,MATCH(Charts!$AD5,Output!$D$4:$T$4,0))*100</f>
        <v>-5.4985734292978128</v>
      </c>
      <c r="AG5" s="17"/>
      <c r="AH5" s="85">
        <f>RANK(AJ5,$AJ$5:$AJ$20,1)</f>
        <v>15</v>
      </c>
      <c r="AI5" s="85" t="s">
        <v>216</v>
      </c>
      <c r="AJ5" s="177">
        <f>INDEX(Output!$D$96:$T$96,MATCH(Charts!$AI5,Output!$D$4:$T$4,0))</f>
        <v>4.5039390352736956E-2</v>
      </c>
      <c r="AK5" s="85">
        <v>1</v>
      </c>
      <c r="AL5" s="85" t="str">
        <f>VLOOKUP(AK5,$AH$5:$AI$20,2,FALSE)</f>
        <v>Aurora Energy</v>
      </c>
      <c r="AM5" s="177">
        <f>INDEX(Output!$D$96:$T$96,MATCH(Charts!$AL5,Output!$D$4:$T$4,0))</f>
        <v>-4.452483272801349E-2</v>
      </c>
      <c r="AN5" s="17"/>
    </row>
    <row r="6" spans="1:40" x14ac:dyDescent="0.25">
      <c r="A6" s="85" t="s">
        <v>25</v>
      </c>
      <c r="B6" s="86">
        <f>INDEX(Output!$D$92:$T$92,MATCH(Charts!$A6,Output!$D$4:$T$4,0))</f>
        <v>6.4726399189891648E-3</v>
      </c>
      <c r="C6" s="86">
        <f>INDEX(Output!$D$93:$T$93,MATCH(Charts!$A6,Output!$D$4:$T$4,0))</f>
        <v>3.9838571909245335E-3</v>
      </c>
      <c r="D6" s="86">
        <f>INDEX(Output!$D$94:$T$94,MATCH(Charts!$A6,Output!$D$4:$T$4,0))</f>
        <v>-2.4887827280646313E-3</v>
      </c>
      <c r="F6" s="85">
        <f t="shared" si="0"/>
        <v>11</v>
      </c>
      <c r="G6" s="85" t="s">
        <v>25</v>
      </c>
      <c r="H6" s="85">
        <v>2</v>
      </c>
      <c r="I6" s="85" t="str">
        <f t="shared" si="1"/>
        <v>The Lines Company</v>
      </c>
      <c r="J6" s="85">
        <f t="shared" ref="J6:J20" si="2">VLOOKUP(I6,$A$5:$D$20,4,FALSE)*100</f>
        <v>2.5724307898580823</v>
      </c>
      <c r="L6" s="85">
        <f t="shared" ref="L6:L20" si="3">RANK(N6,$N$5:$N$20,0)</f>
        <v>6</v>
      </c>
      <c r="M6" s="85" t="s">
        <v>25</v>
      </c>
      <c r="N6" s="85">
        <f>INDEX(Output!$D$98:$T$98,MATCH(Charts!$M6,Output!$D$4:$T$4,0))</f>
        <v>-6.6453792389498112E-3</v>
      </c>
      <c r="O6" s="85">
        <v>2</v>
      </c>
      <c r="P6" s="85" t="str">
        <f t="shared" ref="P6:P20" si="4">VLOOKUP(O6,$L$5:$M$20,2,FALSE)</f>
        <v>Unison Networks</v>
      </c>
      <c r="Q6" s="85">
        <f>INDEX(Output!$D$98:$T$98,MATCH(Charts!$P6,Output!$D$4:$T$4,0))*100</f>
        <v>-0.27209219072399371</v>
      </c>
      <c r="S6" s="85">
        <f t="shared" ref="S6:S20" si="5">RANK(U6,$U$5:$U$20,0)</f>
        <v>1</v>
      </c>
      <c r="T6" s="85" t="s">
        <v>25</v>
      </c>
      <c r="U6" s="85">
        <f>INDEX(Output!$D$99:$T$99,MATCH(Charts!$T6,Output!$D$4:$T$4,0))</f>
        <v>7773.4906637980594</v>
      </c>
      <c r="V6" s="85">
        <v>2</v>
      </c>
      <c r="W6" s="85" t="str">
        <f t="shared" ref="W6:W20" si="6">VLOOKUP(V6,$S$5:$T$20,2,FALSE)</f>
        <v>Top Energy</v>
      </c>
      <c r="X6" s="85">
        <f>INDEX(Output!$D$99:$T$99,MATCH(Charts!$W6,Output!$D$4:$T$4,0))*1000</f>
        <v>2045663.7603930614</v>
      </c>
      <c r="Z6" s="85">
        <f t="shared" ref="Z6:Z20" si="7">RANK(AB6,$AB$5:$AB$20,1)</f>
        <v>6</v>
      </c>
      <c r="AA6" s="85" t="s">
        <v>25</v>
      </c>
      <c r="AB6" s="85">
        <f>INDEX(Output!$D$89:$T$89,MATCH(Charts!$AA6,Output!$D$4:$T$4,0))/1000</f>
        <v>1.7970122375772426</v>
      </c>
      <c r="AC6" s="85">
        <v>2</v>
      </c>
      <c r="AD6" s="85" t="str">
        <f t="shared" ref="AD6:AD20" si="8">VLOOKUP(AC6,$Z$5:$AA$20,2,FALSE)</f>
        <v>Eastland Network</v>
      </c>
      <c r="AE6" s="85">
        <f>INDEX(Output!$D$89:$T$89,MATCH(Charts!$AD6,Output!$D$4:$T$4,0))/1000</f>
        <v>-2.9352178529449162</v>
      </c>
      <c r="AF6" s="85">
        <f>INDEX(Output!$D$89:$T$89,MATCH(Charts!$AD6,Output!$D$4:$T$4,0))/INDEX(Output!$D$90:$T$90,MATCH(Charts!$AD6,Output!$D$4:$T$4,0))*100</f>
        <v>-2.6785224602044124</v>
      </c>
      <c r="AG6" s="17"/>
      <c r="AH6" s="85">
        <f t="shared" ref="AH6:AH20" si="9">RANK(AJ6,$AJ$5:$AJ$20,1)</f>
        <v>1</v>
      </c>
      <c r="AI6" s="85" t="s">
        <v>25</v>
      </c>
      <c r="AJ6" s="177">
        <f>INDEX(Output!$D$96:$T$96,MATCH(Charts!$AI6,Output!$D$4:$T$4,0))</f>
        <v>-4.452483272801349E-2</v>
      </c>
      <c r="AK6" s="85">
        <v>2</v>
      </c>
      <c r="AL6" s="85" t="str">
        <f t="shared" ref="AL6:AL20" si="10">VLOOKUP(AK6,$AH$5:$AI$20,2,FALSE)</f>
        <v>Wellington Electricity</v>
      </c>
      <c r="AM6" s="177">
        <f>INDEX(Output!$D$96:$T$96,MATCH(Charts!$AL6,Output!$D$4:$T$4,0))</f>
        <v>-4.1578613119866742E-2</v>
      </c>
      <c r="AN6" s="17"/>
    </row>
    <row r="7" spans="1:40" x14ac:dyDescent="0.25">
      <c r="A7" s="87" t="s">
        <v>217</v>
      </c>
      <c r="B7" s="88">
        <f>INDEX(Output!$D$92:$T$92,MATCH(Charts!$A7,Output!$D$4:$T$4,0))</f>
        <v>-2.5500588774990396E-3</v>
      </c>
      <c r="C7" s="88">
        <f>INDEX(Output!$D$93:$T$93,MATCH(Charts!$A7,Output!$D$4:$T$4,0))</f>
        <v>4.2751973493915241E-3</v>
      </c>
      <c r="D7" s="88">
        <f>INDEX(Output!$D$94:$T$94,MATCH(Charts!$A7,Output!$D$4:$T$4,0))</f>
        <v>6.8252562268905637E-3</v>
      </c>
      <c r="F7" s="87">
        <f t="shared" si="0"/>
        <v>6</v>
      </c>
      <c r="G7" s="87" t="s">
        <v>217</v>
      </c>
      <c r="H7" s="87">
        <v>3</v>
      </c>
      <c r="I7" s="87" t="str">
        <f t="shared" si="1"/>
        <v>Electricity Ashburton</v>
      </c>
      <c r="J7" s="87">
        <f t="shared" si="2"/>
        <v>2.0232807868770797</v>
      </c>
      <c r="L7" s="87">
        <f t="shared" si="3"/>
        <v>12</v>
      </c>
      <c r="M7" s="87" t="s">
        <v>217</v>
      </c>
      <c r="N7" s="87">
        <f>INDEX(Output!$D$98:$T$98,MATCH(Charts!$M7,Output!$D$4:$T$4,0))</f>
        <v>-3.3792233464058241E-2</v>
      </c>
      <c r="O7" s="87">
        <v>3</v>
      </c>
      <c r="P7" s="87" t="str">
        <f t="shared" si="4"/>
        <v>Wellington Electricity</v>
      </c>
      <c r="Q7" s="87">
        <f>INDEX(Output!$D$98:$T$98,MATCH(Charts!$P7,Output!$D$4:$T$4,0))*100</f>
        <v>-0.31217140444367297</v>
      </c>
      <c r="S7" s="87">
        <f t="shared" si="5"/>
        <v>9</v>
      </c>
      <c r="T7" s="87" t="s">
        <v>217</v>
      </c>
      <c r="U7" s="87">
        <f>INDEX(Output!$D$99:$T$99,MATCH(Charts!$T7,Output!$D$4:$T$4,0))</f>
        <v>407.1965089194112</v>
      </c>
      <c r="V7" s="87">
        <v>3</v>
      </c>
      <c r="W7" s="87" t="str">
        <f t="shared" si="6"/>
        <v>Unison Networks</v>
      </c>
      <c r="X7" s="87">
        <f>INDEX(Output!$D$99:$T$99,MATCH(Charts!$W7,Output!$D$4:$T$4,0))*1000</f>
        <v>1875013.9244308493</v>
      </c>
      <c r="Z7" s="87">
        <f t="shared" si="7"/>
        <v>10</v>
      </c>
      <c r="AA7" s="87" t="s">
        <v>217</v>
      </c>
      <c r="AB7" s="87">
        <f>INDEX(Output!$D$89:$T$89,MATCH(Charts!$AA7,Output!$D$4:$T$4,0))/1000</f>
        <v>5.6662398423706328</v>
      </c>
      <c r="AC7" s="87">
        <v>3</v>
      </c>
      <c r="AD7" s="87" t="str">
        <f t="shared" si="8"/>
        <v>Horizon Energy</v>
      </c>
      <c r="AE7" s="87">
        <f>INDEX(Output!$D$89:$T$89,MATCH(Charts!$AD7,Output!$D$4:$T$4,0))/1000</f>
        <v>-1.798886653317898</v>
      </c>
      <c r="AF7" s="87">
        <f>INDEX(Output!$D$89:$T$89,MATCH(Charts!$AD7,Output!$D$4:$T$4,0))/INDEX(Output!$D$90:$T$90,MATCH(Charts!$AD7,Output!$D$4:$T$4,0))*100</f>
        <v>-1.7284067748816148</v>
      </c>
      <c r="AG7" s="17"/>
      <c r="AH7" s="87">
        <f t="shared" si="9"/>
        <v>10</v>
      </c>
      <c r="AI7" s="87" t="s">
        <v>217</v>
      </c>
      <c r="AJ7" s="178">
        <f>INDEX(Output!$D$96:$T$96,MATCH(Charts!$AI7,Output!$D$4:$T$4,0))</f>
        <v>-3.0003383813477736E-3</v>
      </c>
      <c r="AK7" s="87">
        <v>3</v>
      </c>
      <c r="AL7" s="87" t="str">
        <f t="shared" si="10"/>
        <v>Top Energy</v>
      </c>
      <c r="AM7" s="178">
        <f>INDEX(Output!$D$96:$T$96,MATCH(Charts!$AL7,Output!$D$4:$T$4,0))</f>
        <v>-3.5724698420110668E-2</v>
      </c>
      <c r="AN7" s="17"/>
    </row>
    <row r="8" spans="1:40" x14ac:dyDescent="0.25">
      <c r="A8" s="85" t="s">
        <v>243</v>
      </c>
      <c r="B8" s="86">
        <f>INDEX(Output!$D$92:$T$92,MATCH(Charts!$A8,Output!$D$4:$T$4,0))</f>
        <v>-2.2495067489118892E-3</v>
      </c>
      <c r="C8" s="86">
        <f>INDEX(Output!$D$93:$T$93,MATCH(Charts!$A8,Output!$D$4:$T$4,0))</f>
        <v>-2.3257256247368741E-3</v>
      </c>
      <c r="D8" s="86">
        <f>INDEX(Output!$D$94:$T$94,MATCH(Charts!$A8,Output!$D$4:$T$4,0))</f>
        <v>-7.6218875824984877E-5</v>
      </c>
      <c r="F8" s="85">
        <f t="shared" si="0"/>
        <v>9</v>
      </c>
      <c r="G8" s="85" t="s">
        <v>243</v>
      </c>
      <c r="H8" s="85">
        <v>4</v>
      </c>
      <c r="I8" s="85" t="str">
        <f t="shared" si="1"/>
        <v>OtagoNet</v>
      </c>
      <c r="J8" s="85">
        <f t="shared" si="2"/>
        <v>1.1903328698212867</v>
      </c>
      <c r="L8" s="85">
        <f t="shared" si="3"/>
        <v>4</v>
      </c>
      <c r="M8" s="85" t="s">
        <v>243</v>
      </c>
      <c r="N8" s="85">
        <f>INDEX(Output!$D$98:$T$98,MATCH(Charts!$M8,Output!$D$4:$T$4,0))</f>
        <v>-4.6256354238382036E-3</v>
      </c>
      <c r="O8" s="85">
        <v>4</v>
      </c>
      <c r="P8" s="85" t="str">
        <f t="shared" si="4"/>
        <v>Eastland Network</v>
      </c>
      <c r="Q8" s="85">
        <f>INDEX(Output!$D$98:$T$98,MATCH(Charts!$P8,Output!$D$4:$T$4,0))*100</f>
        <v>-0.46256354238382036</v>
      </c>
      <c r="S8" s="85">
        <f t="shared" si="5"/>
        <v>15</v>
      </c>
      <c r="T8" s="85" t="s">
        <v>243</v>
      </c>
      <c r="U8" s="85">
        <f>INDEX(Output!$D$99:$T$99,MATCH(Charts!$T8,Output!$D$4:$T$4,0))</f>
        <v>-382.45436777256947</v>
      </c>
      <c r="V8" s="85">
        <v>4</v>
      </c>
      <c r="W8" s="85" t="str">
        <f t="shared" si="6"/>
        <v>OtagoNet</v>
      </c>
      <c r="X8" s="85">
        <f>INDEX(Output!$D$99:$T$99,MATCH(Charts!$W8,Output!$D$4:$T$4,0))*1000</f>
        <v>1678358.3664362933</v>
      </c>
      <c r="Z8" s="85">
        <f t="shared" si="7"/>
        <v>2</v>
      </c>
      <c r="AA8" s="85" t="s">
        <v>243</v>
      </c>
      <c r="AB8" s="85">
        <f>INDEX(Output!$D$89:$T$89,MATCH(Charts!$AA8,Output!$D$4:$T$4,0))/1000</f>
        <v>-2.9352178529449162</v>
      </c>
      <c r="AC8" s="85">
        <v>4</v>
      </c>
      <c r="AD8" s="85" t="str">
        <f t="shared" si="8"/>
        <v>Nelson Electricity</v>
      </c>
      <c r="AE8" s="85">
        <f>INDEX(Output!$D$89:$T$89,MATCH(Charts!$AD8,Output!$D$4:$T$4,0))/1000</f>
        <v>-0.29954067972759474</v>
      </c>
      <c r="AF8" s="85">
        <f>INDEX(Output!$D$89:$T$89,MATCH(Charts!$AD8,Output!$D$4:$T$4,0))/INDEX(Output!$D$90:$T$90,MATCH(Charts!$AD8,Output!$D$4:$T$4,0))*100</f>
        <v>-0.88065811742194033</v>
      </c>
      <c r="AG8" s="17"/>
      <c r="AH8" s="85">
        <f t="shared" si="9"/>
        <v>8</v>
      </c>
      <c r="AI8" s="85" t="s">
        <v>243</v>
      </c>
      <c r="AJ8" s="177">
        <f>INDEX(Output!$D$96:$T$96,MATCH(Charts!$AI8,Output!$D$4:$T$4,0))</f>
        <v>-9.5466850901752293E-3</v>
      </c>
      <c r="AK8" s="85">
        <v>4</v>
      </c>
      <c r="AL8" s="85" t="str">
        <f t="shared" si="10"/>
        <v>Nelson Electricity</v>
      </c>
      <c r="AM8" s="177">
        <f>INDEX(Output!$D$96:$T$96,MATCH(Charts!$AL8,Output!$D$4:$T$4,0))</f>
        <v>-3.2616732610228079E-2</v>
      </c>
      <c r="AN8" s="17"/>
    </row>
    <row r="9" spans="1:40" x14ac:dyDescent="0.25">
      <c r="A9" s="85" t="s">
        <v>24</v>
      </c>
      <c r="B9" s="86">
        <f>INDEX(Output!$D$92:$T$92,MATCH(Charts!$A9,Output!$D$4:$T$4,0))</f>
        <v>1.5989394164066306E-2</v>
      </c>
      <c r="C9" s="86">
        <f>INDEX(Output!$D$93:$T$93,MATCH(Charts!$A9,Output!$D$4:$T$4,0))</f>
        <v>3.6222202032837103E-2</v>
      </c>
      <c r="D9" s="86">
        <f>INDEX(Output!$D$94:$T$94,MATCH(Charts!$A9,Output!$D$4:$T$4,0))</f>
        <v>2.0232807868770797E-2</v>
      </c>
      <c r="F9" s="85">
        <f t="shared" si="0"/>
        <v>3</v>
      </c>
      <c r="G9" s="85" t="s">
        <v>24</v>
      </c>
      <c r="H9" s="85">
        <v>5</v>
      </c>
      <c r="I9" s="85" t="str">
        <f t="shared" si="1"/>
        <v>Horizon Energy</v>
      </c>
      <c r="J9" s="85">
        <f t="shared" si="2"/>
        <v>0.79133384430545295</v>
      </c>
      <c r="L9" s="85">
        <f t="shared" si="3"/>
        <v>13</v>
      </c>
      <c r="M9" s="85" t="s">
        <v>24</v>
      </c>
      <c r="N9" s="85">
        <f>INDEX(Output!$D$98:$T$98,MATCH(Charts!$M9,Output!$D$4:$T$4,0))</f>
        <v>-3.7578128013474044E-2</v>
      </c>
      <c r="O9" s="85">
        <v>5</v>
      </c>
      <c r="P9" s="85" t="str">
        <f t="shared" si="4"/>
        <v>Horizon Energy</v>
      </c>
      <c r="Q9" s="85">
        <f>INDEX(Output!$D$98:$T$98,MATCH(Charts!$P9,Output!$D$4:$T$4,0))*100</f>
        <v>-0.47895384291261056</v>
      </c>
      <c r="S9" s="85">
        <f t="shared" si="5"/>
        <v>11</v>
      </c>
      <c r="T9" s="85" t="s">
        <v>24</v>
      </c>
      <c r="U9" s="85">
        <f>INDEX(Output!$D$99:$T$99,MATCH(Charts!$T9,Output!$D$4:$T$4,0))</f>
        <v>246.00836685760854</v>
      </c>
      <c r="V9" s="85">
        <v>5</v>
      </c>
      <c r="W9" s="85" t="str">
        <f t="shared" si="6"/>
        <v>Network Tasman</v>
      </c>
      <c r="X9" s="85">
        <f>INDEX(Output!$D$99:$T$99,MATCH(Charts!$W9,Output!$D$4:$T$4,0))*1000</f>
        <v>1221145.4330417719</v>
      </c>
      <c r="Z9" s="85">
        <f t="shared" si="7"/>
        <v>9</v>
      </c>
      <c r="AA9" s="85" t="s">
        <v>24</v>
      </c>
      <c r="AB9" s="85">
        <f>INDEX(Output!$D$89:$T$89,MATCH(Charts!$AA9,Output!$D$4:$T$4,0))/1000</f>
        <v>4.85770631575084</v>
      </c>
      <c r="AC9" s="85">
        <v>5</v>
      </c>
      <c r="AD9" s="85" t="str">
        <f t="shared" si="8"/>
        <v>Electricity Invercargill</v>
      </c>
      <c r="AE9" s="85">
        <f>INDEX(Output!$D$89:$T$89,MATCH(Charts!$AD9,Output!$D$4:$T$4,0))/1000</f>
        <v>0.91339164993396593</v>
      </c>
      <c r="AF9" s="85">
        <f>INDEX(Output!$D$89:$T$89,MATCH(Charts!$AD9,Output!$D$4:$T$4,0))/INDEX(Output!$D$90:$T$90,MATCH(Charts!$AD9,Output!$D$4:$T$4,0))*100</f>
        <v>1.4493403484697931</v>
      </c>
      <c r="AG9" s="17"/>
      <c r="AH9" s="85">
        <f t="shared" si="9"/>
        <v>14</v>
      </c>
      <c r="AI9" s="85" t="s">
        <v>24</v>
      </c>
      <c r="AJ9" s="177">
        <f>INDEX(Output!$D$96:$T$96,MATCH(Charts!$AI9,Output!$D$4:$T$4,0))</f>
        <v>3.4248199849110955E-2</v>
      </c>
      <c r="AK9" s="85">
        <v>5</v>
      </c>
      <c r="AL9" s="85" t="str">
        <f t="shared" si="10"/>
        <v>Vector Lines</v>
      </c>
      <c r="AM9" s="177">
        <f>INDEX(Output!$D$96:$T$96,MATCH(Charts!$AL9,Output!$D$4:$T$4,0))</f>
        <v>-3.0250292198132439E-2</v>
      </c>
      <c r="AN9" s="17"/>
    </row>
    <row r="10" spans="1:40" x14ac:dyDescent="0.25">
      <c r="A10" s="87" t="s">
        <v>23</v>
      </c>
      <c r="B10" s="88">
        <f>INDEX(Output!$D$92:$T$92,MATCH(Charts!$A10,Output!$D$4:$T$4,0))</f>
        <v>-1.1456926475380547E-3</v>
      </c>
      <c r="C10" s="88">
        <f>INDEX(Output!$D$93:$T$93,MATCH(Charts!$A10,Output!$D$4:$T$4,0))</f>
        <v>-7.8258201057023191E-3</v>
      </c>
      <c r="D10" s="88">
        <f>INDEX(Output!$D$94:$T$94,MATCH(Charts!$A10,Output!$D$4:$T$4,0))</f>
        <v>-6.6801274581642645E-3</v>
      </c>
      <c r="F10" s="87">
        <f t="shared" si="0"/>
        <v>12</v>
      </c>
      <c r="G10" s="87" t="s">
        <v>23</v>
      </c>
      <c r="H10" s="87">
        <v>6</v>
      </c>
      <c r="I10" s="87" t="str">
        <f t="shared" si="1"/>
        <v>Centralines</v>
      </c>
      <c r="J10" s="87">
        <f t="shared" si="2"/>
        <v>0.68252562268905637</v>
      </c>
      <c r="L10" s="87">
        <f t="shared" si="3"/>
        <v>9</v>
      </c>
      <c r="M10" s="87" t="s">
        <v>23</v>
      </c>
      <c r="N10" s="87">
        <f>INDEX(Output!$D$98:$T$98,MATCH(Charts!$M10,Output!$D$4:$T$4,0))</f>
        <v>-1.2210842186732962E-2</v>
      </c>
      <c r="O10" s="87">
        <v>6</v>
      </c>
      <c r="P10" s="87" t="str">
        <f t="shared" si="4"/>
        <v>Aurora Energy</v>
      </c>
      <c r="Q10" s="87">
        <f>INDEX(Output!$D$98:$T$98,MATCH(Charts!$P10,Output!$D$4:$T$4,0))*100</f>
        <v>-0.66453792389498112</v>
      </c>
      <c r="S10" s="87">
        <f t="shared" si="5"/>
        <v>14</v>
      </c>
      <c r="T10" s="87" t="s">
        <v>23</v>
      </c>
      <c r="U10" s="87">
        <f>INDEX(Output!$D$99:$T$99,MATCH(Charts!$T10,Output!$D$4:$T$4,0))</f>
        <v>-160.76513459340504</v>
      </c>
      <c r="V10" s="87">
        <v>6</v>
      </c>
      <c r="W10" s="87" t="str">
        <f t="shared" si="6"/>
        <v>Powerco</v>
      </c>
      <c r="X10" s="87">
        <f>INDEX(Output!$D$99:$T$99,MATCH(Charts!$W10,Output!$D$4:$T$4,0))*1000</f>
        <v>813038.69136270764</v>
      </c>
      <c r="Z10" s="87">
        <f t="shared" si="7"/>
        <v>5</v>
      </c>
      <c r="AA10" s="87" t="s">
        <v>23</v>
      </c>
      <c r="AB10" s="87">
        <f>INDEX(Output!$D$89:$T$89,MATCH(Charts!$AA10,Output!$D$4:$T$4,0))/1000</f>
        <v>0.91339164993396593</v>
      </c>
      <c r="AC10" s="87">
        <v>6</v>
      </c>
      <c r="AD10" s="87" t="str">
        <f t="shared" si="8"/>
        <v>Aurora Energy</v>
      </c>
      <c r="AE10" s="87">
        <f>INDEX(Output!$D$89:$T$89,MATCH(Charts!$AD10,Output!$D$4:$T$4,0))/1000</f>
        <v>1.7970122375772426</v>
      </c>
      <c r="AF10" s="87">
        <f>INDEX(Output!$D$89:$T$89,MATCH(Charts!$AD10,Output!$D$4:$T$4,0))/INDEX(Output!$D$90:$T$90,MATCH(Charts!$AD10,Output!$D$4:$T$4,0))*100</f>
        <v>0.59847314381474592</v>
      </c>
      <c r="AG10" s="17"/>
      <c r="AH10" s="87">
        <f t="shared" si="9"/>
        <v>6</v>
      </c>
      <c r="AI10" s="87" t="s">
        <v>23</v>
      </c>
      <c r="AJ10" s="178">
        <f>INDEX(Output!$D$96:$T$96,MATCH(Charts!$AI10,Output!$D$4:$T$4,0))</f>
        <v>-2.2396349696528754E-2</v>
      </c>
      <c r="AK10" s="87">
        <v>6</v>
      </c>
      <c r="AL10" s="87" t="str">
        <f t="shared" si="10"/>
        <v>Electricity Invercargill</v>
      </c>
      <c r="AM10" s="178">
        <f>INDEX(Output!$D$96:$T$96,MATCH(Charts!$AL10,Output!$D$4:$T$4,0))</f>
        <v>-2.2396349696528754E-2</v>
      </c>
      <c r="AN10" s="17"/>
    </row>
    <row r="11" spans="1:40" x14ac:dyDescent="0.25">
      <c r="A11" s="85" t="s">
        <v>218</v>
      </c>
      <c r="B11" s="86">
        <f>INDEX(Output!$D$92:$T$92,MATCH(Charts!$A11,Output!$D$4:$T$4,0))</f>
        <v>-6.3921843140435364E-4</v>
      </c>
      <c r="C11" s="86">
        <f>INDEX(Output!$D$93:$T$93,MATCH(Charts!$A11,Output!$D$4:$T$4,0))</f>
        <v>7.2741200116501759E-3</v>
      </c>
      <c r="D11" s="86">
        <f>INDEX(Output!$D$94:$T$94,MATCH(Charts!$A11,Output!$D$4:$T$4,0))</f>
        <v>7.9133384430545295E-3</v>
      </c>
      <c r="F11" s="85">
        <f t="shared" si="0"/>
        <v>5</v>
      </c>
      <c r="G11" s="85" t="s">
        <v>218</v>
      </c>
      <c r="H11" s="85">
        <v>7</v>
      </c>
      <c r="I11" s="85" t="str">
        <f t="shared" si="1"/>
        <v>Network Tasman</v>
      </c>
      <c r="J11" s="85">
        <f t="shared" si="2"/>
        <v>0.32191847994538225</v>
      </c>
      <c r="L11" s="85">
        <f t="shared" si="3"/>
        <v>5</v>
      </c>
      <c r="M11" s="85" t="s">
        <v>218</v>
      </c>
      <c r="N11" s="85">
        <f>INDEX(Output!$D$98:$T$98,MATCH(Charts!$M11,Output!$D$4:$T$4,0))</f>
        <v>-4.7895384291261056E-3</v>
      </c>
      <c r="O11" s="85">
        <v>7</v>
      </c>
      <c r="P11" s="85" t="str">
        <f t="shared" si="4"/>
        <v>Powerco</v>
      </c>
      <c r="Q11" s="85">
        <f>INDEX(Output!$D$98:$T$98,MATCH(Charts!$P11,Output!$D$4:$T$4,0))*100</f>
        <v>-0.69158138613212294</v>
      </c>
      <c r="S11" s="85">
        <f t="shared" si="5"/>
        <v>10</v>
      </c>
      <c r="T11" s="85" t="s">
        <v>218</v>
      </c>
      <c r="U11" s="85">
        <f>INDEX(Output!$D$99:$T$99,MATCH(Charts!$T11,Output!$D$4:$T$4,0))</f>
        <v>312.68570547907404</v>
      </c>
      <c r="V11" s="85">
        <v>7</v>
      </c>
      <c r="W11" s="85" t="str">
        <f t="shared" si="6"/>
        <v>Wellington Electricity</v>
      </c>
      <c r="X11" s="85">
        <f>INDEX(Output!$D$99:$T$99,MATCH(Charts!$W11,Output!$D$4:$T$4,0))*1000</f>
        <v>490378.09055456048</v>
      </c>
      <c r="Z11" s="85">
        <f t="shared" si="7"/>
        <v>3</v>
      </c>
      <c r="AA11" s="85" t="s">
        <v>218</v>
      </c>
      <c r="AB11" s="85">
        <f>INDEX(Output!$D$89:$T$89,MATCH(Charts!$AA11,Output!$D$4:$T$4,0))/1000</f>
        <v>-1.798886653317898</v>
      </c>
      <c r="AC11" s="85">
        <v>7</v>
      </c>
      <c r="AD11" s="85" t="str">
        <f t="shared" si="8"/>
        <v>OtagoNet</v>
      </c>
      <c r="AE11" s="85">
        <f>INDEX(Output!$D$89:$T$89,MATCH(Charts!$AD11,Output!$D$4:$T$4,0))/1000</f>
        <v>3.0134708528188439</v>
      </c>
      <c r="AF11" s="85">
        <f>INDEX(Output!$D$89:$T$89,MATCH(Charts!$AD11,Output!$D$4:$T$4,0))/INDEX(Output!$D$90:$T$90,MATCH(Charts!$AD11,Output!$D$4:$T$4,0))*100</f>
        <v>2.6551622268736059</v>
      </c>
      <c r="AG11" s="17"/>
      <c r="AH11" s="85">
        <f t="shared" si="9"/>
        <v>13</v>
      </c>
      <c r="AI11" s="85" t="s">
        <v>218</v>
      </c>
      <c r="AJ11" s="177">
        <f>INDEX(Output!$D$96:$T$96,MATCH(Charts!$AI11,Output!$D$4:$T$4,0))</f>
        <v>1.1969239571169622E-2</v>
      </c>
      <c r="AK11" s="85">
        <v>7</v>
      </c>
      <c r="AL11" s="85" t="str">
        <f t="shared" si="10"/>
        <v>Powerco</v>
      </c>
      <c r="AM11" s="177">
        <f>INDEX(Output!$D$96:$T$96,MATCH(Charts!$AL11,Output!$D$4:$T$4,0))</f>
        <v>-2.0238679355019974E-2</v>
      </c>
      <c r="AN11" s="17"/>
    </row>
    <row r="12" spans="1:40" x14ac:dyDescent="0.25">
      <c r="A12" s="85" t="s">
        <v>219</v>
      </c>
      <c r="B12" s="86">
        <f>INDEX(Output!$D$92:$T$92,MATCH(Charts!$A12,Output!$D$4:$T$4,0))</f>
        <v>5.2828068935344419E-3</v>
      </c>
      <c r="C12" s="86">
        <f>INDEX(Output!$D$93:$T$93,MATCH(Charts!$A12,Output!$D$4:$T$4,0))</f>
        <v>-2.5188114547417539E-2</v>
      </c>
      <c r="D12" s="86">
        <f>INDEX(Output!$D$94:$T$94,MATCH(Charts!$A12,Output!$D$4:$T$4,0))</f>
        <v>-3.0470921440951981E-2</v>
      </c>
      <c r="F12" s="85">
        <f t="shared" si="0"/>
        <v>16</v>
      </c>
      <c r="G12" s="85" t="s">
        <v>219</v>
      </c>
      <c r="H12" s="85">
        <v>8</v>
      </c>
      <c r="I12" s="85" t="str">
        <f t="shared" si="1"/>
        <v>Unison Networks</v>
      </c>
      <c r="J12" s="85">
        <f t="shared" si="2"/>
        <v>0.23129348500470215</v>
      </c>
      <c r="L12" s="85">
        <f t="shared" si="3"/>
        <v>10</v>
      </c>
      <c r="M12" s="85" t="s">
        <v>219</v>
      </c>
      <c r="N12" s="85">
        <f>INDEX(Output!$D$98:$T$98,MATCH(Charts!$M12,Output!$D$4:$T$4,0))</f>
        <v>-1.4846278599938589E-2</v>
      </c>
      <c r="O12" s="85">
        <v>8</v>
      </c>
      <c r="P12" s="85" t="str">
        <f t="shared" si="4"/>
        <v>OtagoNet</v>
      </c>
      <c r="Q12" s="85">
        <f>INDEX(Output!$D$98:$T$98,MATCH(Charts!$P12,Output!$D$4:$T$4,0))*100</f>
        <v>-0.72410305482775161</v>
      </c>
      <c r="S12" s="85">
        <f t="shared" si="5"/>
        <v>8</v>
      </c>
      <c r="T12" s="85" t="s">
        <v>219</v>
      </c>
      <c r="U12" s="85">
        <f>INDEX(Output!$D$99:$T$99,MATCH(Charts!$T12,Output!$D$4:$T$4,0))</f>
        <v>482.53123289871405</v>
      </c>
      <c r="V12" s="85">
        <v>8</v>
      </c>
      <c r="W12" s="85" t="str">
        <f t="shared" si="6"/>
        <v>Nelson Electricity</v>
      </c>
      <c r="X12" s="85">
        <f>INDEX(Output!$D$99:$T$99,MATCH(Charts!$W12,Output!$D$4:$T$4,0))*1000</f>
        <v>482531.23289871408</v>
      </c>
      <c r="Z12" s="85">
        <f t="shared" si="7"/>
        <v>4</v>
      </c>
      <c r="AA12" s="85" t="s">
        <v>219</v>
      </c>
      <c r="AB12" s="85">
        <f>INDEX(Output!$D$89:$T$89,MATCH(Charts!$AA12,Output!$D$4:$T$4,0))/1000</f>
        <v>-0.29954067972759474</v>
      </c>
      <c r="AC12" s="85">
        <v>8</v>
      </c>
      <c r="AD12" s="85" t="str">
        <f t="shared" si="8"/>
        <v>Powerco</v>
      </c>
      <c r="AE12" s="85">
        <f>INDEX(Output!$D$89:$T$89,MATCH(Charts!$AD12,Output!$D$4:$T$4,0))/1000</f>
        <v>3.6930647482522962</v>
      </c>
      <c r="AF12" s="85">
        <f>INDEX(Output!$D$89:$T$89,MATCH(Charts!$AD12,Output!$D$4:$T$4,0))/INDEX(Output!$D$90:$T$90,MATCH(Charts!$AD12,Output!$D$4:$T$4,0))*100</f>
        <v>0.32173251862264129</v>
      </c>
      <c r="AG12" s="17"/>
      <c r="AH12" s="85">
        <f t="shared" si="9"/>
        <v>4</v>
      </c>
      <c r="AI12" s="85" t="s">
        <v>219</v>
      </c>
      <c r="AJ12" s="177">
        <f>INDEX(Output!$D$96:$T$96,MATCH(Charts!$AI12,Output!$D$4:$T$4,0))</f>
        <v>-3.2616732610228079E-2</v>
      </c>
      <c r="AK12" s="85">
        <v>8</v>
      </c>
      <c r="AL12" s="85" t="str">
        <f t="shared" si="10"/>
        <v>Eastland Network</v>
      </c>
      <c r="AM12" s="177">
        <f>INDEX(Output!$D$96:$T$96,MATCH(Charts!$AL12,Output!$D$4:$T$4,0))</f>
        <v>-9.5466850901752293E-3</v>
      </c>
      <c r="AN12" s="17"/>
    </row>
    <row r="13" spans="1:40" x14ac:dyDescent="0.25">
      <c r="A13" s="87" t="s">
        <v>220</v>
      </c>
      <c r="B13" s="88">
        <f>INDEX(Output!$D$92:$T$92,MATCH(Charts!$A13,Output!$D$4:$T$4,0))</f>
        <v>5.9734074574071538E-3</v>
      </c>
      <c r="C13" s="88">
        <f>INDEX(Output!$D$93:$T$93,MATCH(Charts!$A13,Output!$D$4:$T$4,0))</f>
        <v>9.1925922568609764E-3</v>
      </c>
      <c r="D13" s="88">
        <f>INDEX(Output!$D$94:$T$94,MATCH(Charts!$A13,Output!$D$4:$T$4,0))</f>
        <v>3.2191847994538225E-3</v>
      </c>
      <c r="F13" s="87">
        <f t="shared" si="0"/>
        <v>7</v>
      </c>
      <c r="G13" s="87" t="s">
        <v>220</v>
      </c>
      <c r="H13" s="87">
        <v>9</v>
      </c>
      <c r="I13" s="87" t="str">
        <f t="shared" si="1"/>
        <v>Eastland Network</v>
      </c>
      <c r="J13" s="87">
        <f t="shared" si="2"/>
        <v>-7.6218875824984877E-3</v>
      </c>
      <c r="L13" s="87">
        <f t="shared" si="3"/>
        <v>14</v>
      </c>
      <c r="M13" s="87" t="s">
        <v>220</v>
      </c>
      <c r="N13" s="87">
        <f>INDEX(Output!$D$98:$T$98,MATCH(Charts!$M13,Output!$D$4:$T$4,0))</f>
        <v>-0.108582786231051</v>
      </c>
      <c r="O13" s="87">
        <v>9</v>
      </c>
      <c r="P13" s="87" t="str">
        <f t="shared" si="4"/>
        <v>Electricity Invercargill</v>
      </c>
      <c r="Q13" s="87">
        <f>INDEX(Output!$D$98:$T$98,MATCH(Charts!$P13,Output!$D$4:$T$4,0))*100</f>
        <v>-1.2210842186732962</v>
      </c>
      <c r="S13" s="87">
        <f t="shared" si="5"/>
        <v>5</v>
      </c>
      <c r="T13" s="87" t="s">
        <v>220</v>
      </c>
      <c r="U13" s="87">
        <f>INDEX(Output!$D$99:$T$99,MATCH(Charts!$T13,Output!$D$4:$T$4,0))</f>
        <v>1221.1454330417719</v>
      </c>
      <c r="V13" s="87">
        <v>9</v>
      </c>
      <c r="W13" s="87" t="str">
        <f t="shared" si="6"/>
        <v>Centralines</v>
      </c>
      <c r="X13" s="87">
        <f>INDEX(Output!$D$99:$T$99,MATCH(Charts!$W13,Output!$D$4:$T$4,0))*1000</f>
        <v>407196.50891941122</v>
      </c>
      <c r="Z13" s="87">
        <f t="shared" si="7"/>
        <v>11</v>
      </c>
      <c r="AA13" s="87" t="s">
        <v>220</v>
      </c>
      <c r="AB13" s="87">
        <f>INDEX(Output!$D$89:$T$89,MATCH(Charts!$AA13,Output!$D$4:$T$4,0))/1000</f>
        <v>7.3246335261945514</v>
      </c>
      <c r="AC13" s="87">
        <v>9</v>
      </c>
      <c r="AD13" s="87" t="str">
        <f t="shared" si="8"/>
        <v>Electricity Ashburton</v>
      </c>
      <c r="AE13" s="87">
        <f>INDEX(Output!$D$89:$T$89,MATCH(Charts!$AD13,Output!$D$4:$T$4,0))/1000</f>
        <v>4.85770631575084</v>
      </c>
      <c r="AF13" s="87">
        <f>INDEX(Output!$D$89:$T$89,MATCH(Charts!$AD13,Output!$D$4:$T$4,0))/INDEX(Output!$D$90:$T$90,MATCH(Charts!$AD13,Output!$D$4:$T$4,0))*100</f>
        <v>3.8619140132340335</v>
      </c>
      <c r="AG13" s="17"/>
      <c r="AH13" s="87">
        <f t="shared" si="9"/>
        <v>12</v>
      </c>
      <c r="AI13" s="87" t="s">
        <v>220</v>
      </c>
      <c r="AJ13" s="178">
        <f>INDEX(Output!$D$96:$T$96,MATCH(Charts!$AI13,Output!$D$4:$T$4,0))</f>
        <v>7.6539962367588163E-3</v>
      </c>
      <c r="AK13" s="87">
        <v>9</v>
      </c>
      <c r="AL13" s="87" t="str">
        <f t="shared" si="10"/>
        <v>Unison Networks</v>
      </c>
      <c r="AM13" s="178">
        <f>INDEX(Output!$D$96:$T$96,MATCH(Charts!$AL13,Output!$D$4:$T$4,0))</f>
        <v>-3.8153168318568196E-3</v>
      </c>
      <c r="AN13" s="17"/>
    </row>
    <row r="14" spans="1:40" x14ac:dyDescent="0.25">
      <c r="A14" s="85" t="s">
        <v>222</v>
      </c>
      <c r="B14" s="86">
        <f>INDEX(Output!$D$92:$T$92,MATCH(Charts!$A14,Output!$D$4:$T$4,0))</f>
        <v>3.0042551825457675E-3</v>
      </c>
      <c r="C14" s="86">
        <f>INDEX(Output!$D$93:$T$93,MATCH(Charts!$A14,Output!$D$4:$T$4,0))</f>
        <v>1.4907583880758635E-2</v>
      </c>
      <c r="D14" s="86">
        <f>INDEX(Output!$D$94:$T$94,MATCH(Charts!$A14,Output!$D$4:$T$4,0))</f>
        <v>1.1903328698212867E-2</v>
      </c>
      <c r="F14" s="85">
        <f t="shared" si="0"/>
        <v>4</v>
      </c>
      <c r="G14" s="85" t="s">
        <v>222</v>
      </c>
      <c r="H14" s="85">
        <v>10</v>
      </c>
      <c r="I14" s="85" t="str">
        <f t="shared" si="1"/>
        <v>Powerco</v>
      </c>
      <c r="J14" s="85">
        <f t="shared" si="2"/>
        <v>-8.7559488506272487E-2</v>
      </c>
      <c r="L14" s="85">
        <f t="shared" si="3"/>
        <v>8</v>
      </c>
      <c r="M14" s="85" t="s">
        <v>222</v>
      </c>
      <c r="N14" s="85">
        <f>INDEX(Output!$D$98:$T$98,MATCH(Charts!$M14,Output!$D$4:$T$4,0))</f>
        <v>-7.2410305482775161E-3</v>
      </c>
      <c r="O14" s="85">
        <v>10</v>
      </c>
      <c r="P14" s="85" t="str">
        <f t="shared" si="4"/>
        <v>Nelson Electricity</v>
      </c>
      <c r="Q14" s="85">
        <f>INDEX(Output!$D$98:$T$98,MATCH(Charts!$P14,Output!$D$4:$T$4,0))*100</f>
        <v>-1.4846278599938589</v>
      </c>
      <c r="S14" s="85">
        <f t="shared" si="5"/>
        <v>4</v>
      </c>
      <c r="T14" s="85" t="s">
        <v>222</v>
      </c>
      <c r="U14" s="85">
        <f>INDEX(Output!$D$99:$T$99,MATCH(Charts!$T14,Output!$D$4:$T$4,0))</f>
        <v>1678.3583664362934</v>
      </c>
      <c r="V14" s="85">
        <v>10</v>
      </c>
      <c r="W14" s="85" t="str">
        <f t="shared" si="6"/>
        <v>Horizon Energy</v>
      </c>
      <c r="X14" s="85">
        <f>INDEX(Output!$D$99:$T$99,MATCH(Charts!$W14,Output!$D$4:$T$4,0))*1000</f>
        <v>312685.70547907404</v>
      </c>
      <c r="Z14" s="85">
        <f t="shared" si="7"/>
        <v>7</v>
      </c>
      <c r="AA14" s="85" t="s">
        <v>222</v>
      </c>
      <c r="AB14" s="85">
        <f>INDEX(Output!$D$89:$T$89,MATCH(Charts!$AA14,Output!$D$4:$T$4,0))/1000</f>
        <v>3.0134708528188439</v>
      </c>
      <c r="AC14" s="85">
        <v>10</v>
      </c>
      <c r="AD14" s="85" t="str">
        <f t="shared" si="8"/>
        <v>Centralines</v>
      </c>
      <c r="AE14" s="85">
        <f>INDEX(Output!$D$89:$T$89,MATCH(Charts!$AD14,Output!$D$4:$T$4,0))/1000</f>
        <v>5.6662398423706328</v>
      </c>
      <c r="AF14" s="85">
        <f>INDEX(Output!$D$89:$T$89,MATCH(Charts!$AD14,Output!$D$4:$T$4,0))/INDEX(Output!$D$90:$T$90,MATCH(Charts!$AD14,Output!$D$4:$T$4,0))*100</f>
        <v>14.628012416915547</v>
      </c>
      <c r="AG14" s="17"/>
      <c r="AH14" s="85">
        <f t="shared" si="9"/>
        <v>11</v>
      </c>
      <c r="AI14" s="85" t="s">
        <v>222</v>
      </c>
      <c r="AJ14" s="177">
        <f>INDEX(Output!$D$96:$T$96,MATCH(Charts!$AI14,Output!$D$4:$T$4,0))</f>
        <v>2.2176317810002785E-4</v>
      </c>
      <c r="AK14" s="85">
        <v>10</v>
      </c>
      <c r="AL14" s="85" t="str">
        <f t="shared" si="10"/>
        <v>Centralines</v>
      </c>
      <c r="AM14" s="177">
        <f>INDEX(Output!$D$96:$T$96,MATCH(Charts!$AL14,Output!$D$4:$T$4,0))</f>
        <v>-3.0003383813477736E-3</v>
      </c>
      <c r="AN14" s="17"/>
    </row>
    <row r="15" spans="1:40" x14ac:dyDescent="0.25">
      <c r="A15" s="85" t="s">
        <v>223</v>
      </c>
      <c r="B15" s="86">
        <f>INDEX(Output!$D$92:$T$92,MATCH(Charts!$A15,Output!$D$4:$T$4,0))</f>
        <v>5.0885795365811504E-3</v>
      </c>
      <c r="C15" s="86">
        <f>INDEX(Output!$D$93:$T$93,MATCH(Charts!$A15,Output!$D$4:$T$4,0))</f>
        <v>4.2129846515184255E-3</v>
      </c>
      <c r="D15" s="86">
        <f>INDEX(Output!$D$94:$T$94,MATCH(Charts!$A15,Output!$D$4:$T$4,0))</f>
        <v>-8.7559488506272487E-4</v>
      </c>
      <c r="F15" s="85">
        <f t="shared" si="0"/>
        <v>10</v>
      </c>
      <c r="G15" s="85" t="s">
        <v>223</v>
      </c>
      <c r="H15" s="85">
        <v>11</v>
      </c>
      <c r="I15" s="85" t="str">
        <f t="shared" si="1"/>
        <v>Aurora Energy</v>
      </c>
      <c r="J15" s="85">
        <f t="shared" si="2"/>
        <v>-0.24887827280646313</v>
      </c>
      <c r="L15" s="85">
        <f t="shared" si="3"/>
        <v>7</v>
      </c>
      <c r="M15" s="85" t="s">
        <v>223</v>
      </c>
      <c r="N15" s="85">
        <f>INDEX(Output!$D$98:$T$98,MATCH(Charts!$M15,Output!$D$4:$T$4,0))</f>
        <v>-6.9158138613212294E-3</v>
      </c>
      <c r="O15" s="85">
        <v>11</v>
      </c>
      <c r="P15" s="85" t="str">
        <f t="shared" si="4"/>
        <v>Alpine Energy</v>
      </c>
      <c r="Q15" s="85">
        <f>INDEX(Output!$D$98:$T$98,MATCH(Charts!$P15,Output!$D$4:$T$4,0))*100</f>
        <v>-2.666652829047389</v>
      </c>
      <c r="S15" s="85">
        <f t="shared" si="5"/>
        <v>6</v>
      </c>
      <c r="T15" s="85" t="s">
        <v>223</v>
      </c>
      <c r="U15" s="85">
        <f>INDEX(Output!$D$99:$T$99,MATCH(Charts!$T15,Output!$D$4:$T$4,0))</f>
        <v>813.0386913627076</v>
      </c>
      <c r="V15" s="85">
        <v>11</v>
      </c>
      <c r="W15" s="85" t="str">
        <f t="shared" si="6"/>
        <v>Electricity Ashburton</v>
      </c>
      <c r="X15" s="85">
        <f>INDEX(Output!$D$99:$T$99,MATCH(Charts!$W15,Output!$D$4:$T$4,0))*1000</f>
        <v>246008.36685760855</v>
      </c>
      <c r="Z15" s="85">
        <f t="shared" si="7"/>
        <v>8</v>
      </c>
      <c r="AA15" s="85" t="s">
        <v>223</v>
      </c>
      <c r="AB15" s="85">
        <f>INDEX(Output!$D$89:$T$89,MATCH(Charts!$AA15,Output!$D$4:$T$4,0))/1000</f>
        <v>3.6930647482522962</v>
      </c>
      <c r="AC15" s="85">
        <v>11</v>
      </c>
      <c r="AD15" s="85" t="str">
        <f t="shared" si="8"/>
        <v>Network Tasman</v>
      </c>
      <c r="AE15" s="85">
        <f>INDEX(Output!$D$89:$T$89,MATCH(Charts!$AD15,Output!$D$4:$T$4,0))/1000</f>
        <v>7.3246335261945514</v>
      </c>
      <c r="AF15" s="85">
        <f>INDEX(Output!$D$89:$T$89,MATCH(Charts!$AD15,Output!$D$4:$T$4,0))/INDEX(Output!$D$90:$T$90,MATCH(Charts!$AD15,Output!$D$4:$T$4,0))*100</f>
        <v>5.3796592134033778</v>
      </c>
      <c r="AG15" s="17"/>
      <c r="AH15" s="85">
        <f t="shared" si="9"/>
        <v>7</v>
      </c>
      <c r="AI15" s="85" t="s">
        <v>223</v>
      </c>
      <c r="AJ15" s="177">
        <f>INDEX(Output!$D$96:$T$96,MATCH(Charts!$AI15,Output!$D$4:$T$4,0))</f>
        <v>-2.0238679355019974E-2</v>
      </c>
      <c r="AK15" s="85">
        <v>11</v>
      </c>
      <c r="AL15" s="85" t="str">
        <f t="shared" si="10"/>
        <v>OtagoNet</v>
      </c>
      <c r="AM15" s="177">
        <f>INDEX(Output!$D$96:$T$96,MATCH(Charts!$AL15,Output!$D$4:$T$4,0))</f>
        <v>2.2176317810002785E-4</v>
      </c>
      <c r="AN15" s="17"/>
    </row>
    <row r="16" spans="1:40" x14ac:dyDescent="0.25">
      <c r="A16" s="87" t="s">
        <v>22</v>
      </c>
      <c r="B16" s="88">
        <f>INDEX(Output!$D$92:$T$92,MATCH(Charts!$A16,Output!$D$4:$T$4,0))</f>
        <v>-4.7755866874987785E-4</v>
      </c>
      <c r="C16" s="88">
        <f>INDEX(Output!$D$93:$T$93,MATCH(Charts!$A16,Output!$D$4:$T$4,0))</f>
        <v>2.5246749229830945E-2</v>
      </c>
      <c r="D16" s="88">
        <f>INDEX(Output!$D$94:$T$94,MATCH(Charts!$A16,Output!$D$4:$T$4,0))</f>
        <v>2.5724307898580823E-2</v>
      </c>
      <c r="F16" s="87">
        <f t="shared" si="0"/>
        <v>2</v>
      </c>
      <c r="G16" s="87" t="s">
        <v>22</v>
      </c>
      <c r="H16" s="87">
        <v>12</v>
      </c>
      <c r="I16" s="87" t="str">
        <f t="shared" si="1"/>
        <v>Electricity Invercargill</v>
      </c>
      <c r="J16" s="87">
        <f t="shared" si="2"/>
        <v>-0.66801274581642645</v>
      </c>
      <c r="L16" s="87">
        <f t="shared" si="3"/>
        <v>16</v>
      </c>
      <c r="M16" s="87" t="s">
        <v>22</v>
      </c>
      <c r="N16" s="87">
        <f>INDEX(Output!$D$98:$T$98,MATCH(Charts!$M16,Output!$D$4:$T$4,0))</f>
        <v>-0.16514930930770966</v>
      </c>
      <c r="O16" s="87">
        <v>12</v>
      </c>
      <c r="P16" s="87" t="str">
        <f t="shared" si="4"/>
        <v>Centralines</v>
      </c>
      <c r="Q16" s="87">
        <f>INDEX(Output!$D$98:$T$98,MATCH(Charts!$P16,Output!$D$4:$T$4,0))*100</f>
        <v>-3.3792233464058241</v>
      </c>
      <c r="S16" s="87">
        <f t="shared" si="5"/>
        <v>13</v>
      </c>
      <c r="T16" s="87" t="s">
        <v>22</v>
      </c>
      <c r="U16" s="87">
        <f>INDEX(Output!$D$99:$T$99,MATCH(Charts!$T16,Output!$D$4:$T$4,0))</f>
        <v>-159.87108176560213</v>
      </c>
      <c r="V16" s="87">
        <v>12</v>
      </c>
      <c r="W16" s="87" t="str">
        <f t="shared" si="6"/>
        <v>Alpine Energy</v>
      </c>
      <c r="X16" s="87">
        <f>INDEX(Output!$D$99:$T$99,MATCH(Charts!$W16,Output!$D$4:$T$4,0))*1000</f>
        <v>46361.373998947936</v>
      </c>
      <c r="Z16" s="87">
        <f t="shared" si="7"/>
        <v>13</v>
      </c>
      <c r="AA16" s="87" t="s">
        <v>22</v>
      </c>
      <c r="AB16" s="87">
        <f>INDEX(Output!$D$89:$T$89,MATCH(Charts!$AA16,Output!$D$4:$T$4,0))/1000</f>
        <v>10.475384435603303</v>
      </c>
      <c r="AC16" s="87">
        <v>12</v>
      </c>
      <c r="AD16" s="87" t="str">
        <f t="shared" si="8"/>
        <v>Wellington Electricity</v>
      </c>
      <c r="AE16" s="87">
        <f>INDEX(Output!$D$89:$T$89,MATCH(Charts!$AD16,Output!$D$4:$T$4,0))/1000</f>
        <v>7.6288981894832792</v>
      </c>
      <c r="AF16" s="87">
        <f>INDEX(Output!$D$89:$T$89,MATCH(Charts!$AD16,Output!$D$4:$T$4,0))/INDEX(Output!$D$90:$T$90,MATCH(Charts!$AD16,Output!$D$4:$T$4,0))*100</f>
        <v>1.3383781269246391</v>
      </c>
      <c r="AG16" s="17"/>
      <c r="AH16" s="87">
        <f t="shared" si="9"/>
        <v>16</v>
      </c>
      <c r="AI16" s="87" t="s">
        <v>22</v>
      </c>
      <c r="AJ16" s="178">
        <f>INDEX(Output!$D$96:$T$96,MATCH(Charts!$AI16,Output!$D$4:$T$4,0))</f>
        <v>7.3116771493658778E-2</v>
      </c>
      <c r="AK16" s="87">
        <v>12</v>
      </c>
      <c r="AL16" s="87" t="str">
        <f t="shared" si="10"/>
        <v>Network Tasman</v>
      </c>
      <c r="AM16" s="178">
        <f>INDEX(Output!$D$96:$T$96,MATCH(Charts!$AL16,Output!$D$4:$T$4,0))</f>
        <v>7.6539962367588163E-3</v>
      </c>
      <c r="AN16" s="17"/>
    </row>
    <row r="17" spans="1:40" x14ac:dyDescent="0.25">
      <c r="A17" s="85" t="s">
        <v>224</v>
      </c>
      <c r="B17" s="86">
        <f>INDEX(Output!$D$92:$T$92,MATCH(Charts!$A17,Output!$D$4:$T$4,0))</f>
        <v>3.077150201565404E-3</v>
      </c>
      <c r="C17" s="86">
        <f>INDEX(Output!$D$93:$T$93,MATCH(Charts!$A17,Output!$D$4:$T$4,0))</f>
        <v>-1.9731167310506725E-2</v>
      </c>
      <c r="D17" s="86">
        <f>INDEX(Output!$D$94:$T$94,MATCH(Charts!$A17,Output!$D$4:$T$4,0))</f>
        <v>-2.2808317512072129E-2</v>
      </c>
      <c r="F17" s="85">
        <f t="shared" si="0"/>
        <v>15</v>
      </c>
      <c r="G17" s="85" t="s">
        <v>224</v>
      </c>
      <c r="H17" s="85">
        <v>13</v>
      </c>
      <c r="I17" s="85" t="str">
        <f t="shared" si="1"/>
        <v>Vector Lines</v>
      </c>
      <c r="J17" s="85">
        <f t="shared" si="2"/>
        <v>-0.73089447256686757</v>
      </c>
      <c r="L17" s="85">
        <f t="shared" si="3"/>
        <v>15</v>
      </c>
      <c r="M17" s="85" t="s">
        <v>224</v>
      </c>
      <c r="N17" s="85">
        <f>INDEX(Output!$D$98:$T$98,MATCH(Charts!$M17,Output!$D$4:$T$4,0))</f>
        <v>-0.12421745731325029</v>
      </c>
      <c r="O17" s="85">
        <v>13</v>
      </c>
      <c r="P17" s="85" t="str">
        <f t="shared" si="4"/>
        <v>Electricity Ashburton</v>
      </c>
      <c r="Q17" s="85">
        <f>INDEX(Output!$D$98:$T$98,MATCH(Charts!$P17,Output!$D$4:$T$4,0))*100</f>
        <v>-3.7578128013474044</v>
      </c>
      <c r="S17" s="85">
        <f t="shared" si="5"/>
        <v>2</v>
      </c>
      <c r="T17" s="85" t="s">
        <v>224</v>
      </c>
      <c r="U17" s="85">
        <f>INDEX(Output!$D$99:$T$99,MATCH(Charts!$T17,Output!$D$4:$T$4,0))</f>
        <v>2045.6637603930615</v>
      </c>
      <c r="V17" s="85">
        <v>13</v>
      </c>
      <c r="W17" s="85" t="str">
        <f t="shared" si="6"/>
        <v>The Lines Company</v>
      </c>
      <c r="X17" s="85">
        <f>INDEX(Output!$D$99:$T$99,MATCH(Charts!$W17,Output!$D$4:$T$4,0))*1000</f>
        <v>-159871.08176560214</v>
      </c>
      <c r="Z17" s="85">
        <f t="shared" si="7"/>
        <v>14</v>
      </c>
      <c r="AA17" s="85" t="s">
        <v>224</v>
      </c>
      <c r="AB17" s="85">
        <f>INDEX(Output!$D$89:$T$89,MATCH(Charts!$AA17,Output!$D$4:$T$4,0))/1000</f>
        <v>19.349048907536496</v>
      </c>
      <c r="AC17" s="85">
        <v>13</v>
      </c>
      <c r="AD17" s="85" t="str">
        <f t="shared" si="8"/>
        <v>The Lines Company</v>
      </c>
      <c r="AE17" s="85">
        <f>INDEX(Output!$D$89:$T$89,MATCH(Charts!$AD17,Output!$D$4:$T$4,0))/1000</f>
        <v>10.475384435603303</v>
      </c>
      <c r="AF17" s="85">
        <f>INDEX(Output!$D$89:$T$89,MATCH(Charts!$AD17,Output!$D$4:$T$4,0))/INDEX(Output!$D$90:$T$90,MATCH(Charts!$AD17,Output!$D$4:$T$4,0))*100</f>
        <v>8.4250171477086475</v>
      </c>
      <c r="AG17" s="17"/>
      <c r="AH17" s="85">
        <f t="shared" si="9"/>
        <v>3</v>
      </c>
      <c r="AI17" s="85" t="s">
        <v>224</v>
      </c>
      <c r="AJ17" s="177">
        <f>INDEX(Output!$D$96:$T$96,MATCH(Charts!$AI17,Output!$D$4:$T$4,0))</f>
        <v>-3.5724698420110668E-2</v>
      </c>
      <c r="AK17" s="85">
        <v>13</v>
      </c>
      <c r="AL17" s="85" t="str">
        <f t="shared" si="10"/>
        <v>Horizon Energy</v>
      </c>
      <c r="AM17" s="177">
        <f>INDEX(Output!$D$96:$T$96,MATCH(Charts!$AL17,Output!$D$4:$T$4,0))</f>
        <v>1.1969239571169622E-2</v>
      </c>
      <c r="AN17" s="17"/>
    </row>
    <row r="18" spans="1:40" x14ac:dyDescent="0.25">
      <c r="A18" s="85" t="s">
        <v>242</v>
      </c>
      <c r="B18" s="86">
        <f>INDEX(Output!$D$92:$T$92,MATCH(Charts!$A18,Output!$D$4:$T$4,0))</f>
        <v>4.9586501062370836E-4</v>
      </c>
      <c r="C18" s="86">
        <f>INDEX(Output!$D$93:$T$93,MATCH(Charts!$A18,Output!$D$4:$T$4,0))</f>
        <v>2.8087998606707298E-3</v>
      </c>
      <c r="D18" s="86">
        <f>INDEX(Output!$D$94:$T$94,MATCH(Charts!$A18,Output!$D$4:$T$4,0))</f>
        <v>2.3129348500470215E-3</v>
      </c>
      <c r="F18" s="85">
        <f t="shared" si="0"/>
        <v>8</v>
      </c>
      <c r="G18" s="85" t="s">
        <v>242</v>
      </c>
      <c r="H18" s="85">
        <v>14</v>
      </c>
      <c r="I18" s="85" t="str">
        <f t="shared" si="1"/>
        <v>Wellington Electricity</v>
      </c>
      <c r="J18" s="85">
        <f t="shared" si="2"/>
        <v>-1.4073638243447983</v>
      </c>
      <c r="L18" s="85">
        <f t="shared" si="3"/>
        <v>2</v>
      </c>
      <c r="M18" s="85" t="s">
        <v>242</v>
      </c>
      <c r="N18" s="85">
        <f>INDEX(Output!$D$98:$T$98,MATCH(Charts!$M18,Output!$D$4:$T$4,0))</f>
        <v>-2.7209219072399371E-3</v>
      </c>
      <c r="O18" s="85">
        <v>14</v>
      </c>
      <c r="P18" s="85" t="str">
        <f t="shared" si="4"/>
        <v>Network Tasman</v>
      </c>
      <c r="Q18" s="85">
        <f>INDEX(Output!$D$98:$T$98,MATCH(Charts!$P18,Output!$D$4:$T$4,0))*100</f>
        <v>-10.8582786231051</v>
      </c>
      <c r="S18" s="85">
        <f t="shared" si="5"/>
        <v>3</v>
      </c>
      <c r="T18" s="85" t="s">
        <v>242</v>
      </c>
      <c r="U18" s="85">
        <f>INDEX(Output!$D$99:$T$99,MATCH(Charts!$T18,Output!$D$4:$T$4,0))</f>
        <v>1875.0139244308493</v>
      </c>
      <c r="V18" s="85">
        <v>14</v>
      </c>
      <c r="W18" s="85" t="str">
        <f t="shared" si="6"/>
        <v>Electricity Invercargill</v>
      </c>
      <c r="X18" s="85">
        <f>INDEX(Output!$D$99:$T$99,MATCH(Charts!$W18,Output!$D$4:$T$4,0))*1000</f>
        <v>-160765.13459340503</v>
      </c>
      <c r="Z18" s="85">
        <f t="shared" si="7"/>
        <v>15</v>
      </c>
      <c r="AA18" s="85" t="s">
        <v>242</v>
      </c>
      <c r="AB18" s="85">
        <f>INDEX(Output!$D$89:$T$89,MATCH(Charts!$AA18,Output!$D$4:$T$4,0))/1000</f>
        <v>29.816206405167488</v>
      </c>
      <c r="AC18" s="85">
        <v>14</v>
      </c>
      <c r="AD18" s="85" t="str">
        <f t="shared" si="8"/>
        <v>Top Energy</v>
      </c>
      <c r="AE18" s="85">
        <f>INDEX(Output!$D$89:$T$89,MATCH(Charts!$AD18,Output!$D$4:$T$4,0))/1000</f>
        <v>19.349048907536496</v>
      </c>
      <c r="AF18" s="85">
        <f>INDEX(Output!$D$89:$T$89,MATCH(Charts!$AD18,Output!$D$4:$T$4,0))/INDEX(Output!$D$90:$T$90,MATCH(Charts!$AD18,Output!$D$4:$T$4,0))*100</f>
        <v>15.209528630427108</v>
      </c>
      <c r="AG18" s="17"/>
      <c r="AH18" s="85">
        <f t="shared" si="9"/>
        <v>9</v>
      </c>
      <c r="AI18" s="85" t="s">
        <v>242</v>
      </c>
      <c r="AJ18" s="177">
        <f>INDEX(Output!$D$96:$T$96,MATCH(Charts!$AI18,Output!$D$4:$T$4,0))</f>
        <v>-3.8153168318568196E-3</v>
      </c>
      <c r="AK18" s="85">
        <v>14</v>
      </c>
      <c r="AL18" s="85" t="str">
        <f t="shared" si="10"/>
        <v>Electricity Ashburton</v>
      </c>
      <c r="AM18" s="177">
        <f>INDEX(Output!$D$96:$T$96,MATCH(Charts!$AL18,Output!$D$4:$T$4,0))</f>
        <v>3.4248199849110955E-2</v>
      </c>
      <c r="AN18" s="17"/>
    </row>
    <row r="19" spans="1:40" x14ac:dyDescent="0.25">
      <c r="A19" s="87" t="s">
        <v>244</v>
      </c>
      <c r="B19" s="88">
        <f>INDEX(Output!$D$92:$T$92,MATCH(Charts!$A19,Output!$D$4:$T$4,0))</f>
        <v>1.6719424191413257E-2</v>
      </c>
      <c r="C19" s="88">
        <f>INDEX(Output!$D$93:$T$93,MATCH(Charts!$A19,Output!$D$4:$T$4,0))</f>
        <v>9.4104794657445812E-3</v>
      </c>
      <c r="D19" s="88">
        <f>INDEX(Output!$D$94:$T$94,MATCH(Charts!$A19,Output!$D$4:$T$4,0))</f>
        <v>-7.3089447256686757E-3</v>
      </c>
      <c r="F19" s="87">
        <f t="shared" si="0"/>
        <v>13</v>
      </c>
      <c r="G19" s="87" t="s">
        <v>244</v>
      </c>
      <c r="H19" s="87">
        <v>15</v>
      </c>
      <c r="I19" s="87" t="str">
        <f t="shared" si="1"/>
        <v>Top Energy</v>
      </c>
      <c r="J19" s="87">
        <f t="shared" si="2"/>
        <v>-2.2808317512072129</v>
      </c>
      <c r="L19" s="87">
        <f t="shared" si="3"/>
        <v>1</v>
      </c>
      <c r="M19" s="87" t="s">
        <v>244</v>
      </c>
      <c r="N19" s="87">
        <f>INDEX(Output!$D$98:$T$98,MATCH(Charts!$M19,Output!$D$4:$T$4,0))</f>
        <v>-1.4259843256281268E-4</v>
      </c>
      <c r="O19" s="87">
        <v>15</v>
      </c>
      <c r="P19" s="87" t="str">
        <f t="shared" si="4"/>
        <v>Top Energy</v>
      </c>
      <c r="Q19" s="87">
        <f>INDEX(Output!$D$98:$T$98,MATCH(Charts!$P19,Output!$D$4:$T$4,0))*100</f>
        <v>-12.421745731325029</v>
      </c>
      <c r="S19" s="87">
        <f t="shared" si="5"/>
        <v>16</v>
      </c>
      <c r="T19" s="87" t="s">
        <v>244</v>
      </c>
      <c r="U19" s="87">
        <f>INDEX(Output!$D$99:$T$99,MATCH(Charts!$T19,Output!$D$4:$T$4,0))</f>
        <v>-13346.450774158628</v>
      </c>
      <c r="V19" s="87">
        <v>15</v>
      </c>
      <c r="W19" s="87" t="str">
        <f t="shared" si="6"/>
        <v>Eastland Network</v>
      </c>
      <c r="X19" s="87">
        <f>INDEX(Output!$D$99:$T$99,MATCH(Charts!$W19,Output!$D$4:$T$4,0))*1000</f>
        <v>-382454.36777256947</v>
      </c>
      <c r="Z19" s="87">
        <f t="shared" si="7"/>
        <v>1</v>
      </c>
      <c r="AA19" s="87" t="s">
        <v>244</v>
      </c>
      <c r="AB19" s="87">
        <f>INDEX(Output!$D$89:$T$89,MATCH(Charts!$AA19,Output!$D$4:$T$4,0))/1000</f>
        <v>-112.59687241699497</v>
      </c>
      <c r="AC19" s="87">
        <v>15</v>
      </c>
      <c r="AD19" s="87" t="str">
        <f t="shared" si="8"/>
        <v>Unison Networks</v>
      </c>
      <c r="AE19" s="87">
        <f>INDEX(Output!$D$89:$T$89,MATCH(Charts!$AD19,Output!$D$4:$T$4,0))/1000</f>
        <v>29.816206405167488</v>
      </c>
      <c r="AF19" s="87">
        <f>INDEX(Output!$D$89:$T$89,MATCH(Charts!$AD19,Output!$D$4:$T$4,0))/INDEX(Output!$D$90:$T$90,MATCH(Charts!$AD19,Output!$D$4:$T$4,0))*100</f>
        <v>6.9215389763113713</v>
      </c>
      <c r="AG19" s="17"/>
      <c r="AH19" s="87">
        <f t="shared" si="9"/>
        <v>5</v>
      </c>
      <c r="AI19" s="87" t="s">
        <v>244</v>
      </c>
      <c r="AJ19" s="178">
        <f>INDEX(Output!$D$96:$T$96,MATCH(Charts!$AI19,Output!$D$4:$T$4,0))</f>
        <v>-3.0250292198132439E-2</v>
      </c>
      <c r="AK19" s="87">
        <v>15</v>
      </c>
      <c r="AL19" s="87" t="str">
        <f t="shared" si="10"/>
        <v>Alpine Energy</v>
      </c>
      <c r="AM19" s="178">
        <f>INDEX(Output!$D$96:$T$96,MATCH(Charts!$AL19,Output!$D$4:$T$4,0))</f>
        <v>4.5039390352736956E-2</v>
      </c>
      <c r="AN19" s="17"/>
    </row>
    <row r="20" spans="1:40" x14ac:dyDescent="0.25">
      <c r="A20" s="164" t="s">
        <v>225</v>
      </c>
      <c r="B20" s="165">
        <f>INDEX(Output!$D$92:$T$92,MATCH(Charts!$A20,Output!$D$4:$T$4,0))</f>
        <v>8.0901277326554943E-3</v>
      </c>
      <c r="C20" s="165">
        <f>INDEX(Output!$D$93:$T$93,MATCH(Charts!$A20,Output!$D$4:$T$4,0))</f>
        <v>-5.9835105107924891E-3</v>
      </c>
      <c r="D20" s="165">
        <f>INDEX(Output!$D$94:$T$94,MATCH(Charts!$A20,Output!$D$4:$T$4,0))</f>
        <v>-1.4073638243447983E-2</v>
      </c>
      <c r="F20" s="164">
        <f t="shared" si="0"/>
        <v>14</v>
      </c>
      <c r="G20" s="164" t="s">
        <v>225</v>
      </c>
      <c r="H20" s="164">
        <v>16</v>
      </c>
      <c r="I20" s="164" t="str">
        <f t="shared" si="1"/>
        <v>Nelson Electricity</v>
      </c>
      <c r="J20" s="164">
        <f t="shared" si="2"/>
        <v>-3.0470921440951981</v>
      </c>
      <c r="L20" s="164">
        <f t="shared" si="3"/>
        <v>3</v>
      </c>
      <c r="M20" s="164" t="s">
        <v>225</v>
      </c>
      <c r="N20" s="164">
        <f>INDEX(Output!$D$98:$T$98,MATCH(Charts!$M20,Output!$D$4:$T$4,0))</f>
        <v>-3.1217140444367297E-3</v>
      </c>
      <c r="O20" s="164">
        <v>16</v>
      </c>
      <c r="P20" s="164" t="str">
        <f t="shared" si="4"/>
        <v>The Lines Company</v>
      </c>
      <c r="Q20" s="164">
        <f>INDEX(Output!$D$98:$T$98,MATCH(Charts!$P20,Output!$D$4:$T$4,0))*100</f>
        <v>-16.514930930770966</v>
      </c>
      <c r="S20" s="164">
        <f t="shared" si="5"/>
        <v>7</v>
      </c>
      <c r="T20" s="164" t="s">
        <v>225</v>
      </c>
      <c r="U20" s="164">
        <f>INDEX(Output!$D$99:$T$99,MATCH(Charts!$T20,Output!$D$4:$T$4,0))</f>
        <v>490.37809055456046</v>
      </c>
      <c r="V20" s="164">
        <v>16</v>
      </c>
      <c r="W20" s="164" t="str">
        <f t="shared" si="6"/>
        <v>Vector Lines</v>
      </c>
      <c r="X20" s="164">
        <f>INDEX(Output!$D$99:$T$99,MATCH(Charts!$W20,Output!$D$4:$T$4,0))*1000</f>
        <v>-13346450.774158627</v>
      </c>
      <c r="Z20" s="164">
        <f t="shared" si="7"/>
        <v>12</v>
      </c>
      <c r="AA20" s="164" t="s">
        <v>225</v>
      </c>
      <c r="AB20" s="164">
        <f>INDEX(Output!$D$89:$T$89,MATCH(Charts!$AA20,Output!$D$4:$T$4,0))/1000</f>
        <v>7.6288981894832792</v>
      </c>
      <c r="AC20" s="164">
        <v>16</v>
      </c>
      <c r="AD20" s="164" t="str">
        <f t="shared" si="8"/>
        <v>Alpine Energy</v>
      </c>
      <c r="AE20" s="164">
        <f>INDEX(Output!$D$89:$T$89,MATCH(Charts!$AD20,Output!$D$4:$T$4,0))/1000</f>
        <v>33.976590189999683</v>
      </c>
      <c r="AF20" s="164">
        <f>INDEX(Output!$D$89:$T$89,MATCH(Charts!$AD20,Output!$D$4:$T$4,0))/INDEX(Output!$D$90:$T$90,MATCH(Charts!$AD20,Output!$D$4:$T$4,0))*100</f>
        <v>23.089079398321076</v>
      </c>
      <c r="AG20" s="17"/>
      <c r="AH20" s="164">
        <f t="shared" si="9"/>
        <v>2</v>
      </c>
      <c r="AI20" s="164" t="s">
        <v>225</v>
      </c>
      <c r="AJ20" s="179">
        <f>INDEX(Output!$D$96:$T$96,MATCH(Charts!$AI20,Output!$D$4:$T$4,0))</f>
        <v>-4.1578613119866742E-2</v>
      </c>
      <c r="AK20" s="164">
        <v>16</v>
      </c>
      <c r="AL20" s="164" t="str">
        <f t="shared" si="10"/>
        <v>The Lines Company</v>
      </c>
      <c r="AM20" s="179">
        <f>INDEX(Output!$D$96:$T$96,MATCH(Charts!$AL20,Output!$D$4:$T$4,0))</f>
        <v>7.3116771493658778E-2</v>
      </c>
      <c r="AN20" s="17"/>
    </row>
    <row r="21" spans="1:40" x14ac:dyDescent="0.25">
      <c r="A21" s="17"/>
      <c r="B21" s="17"/>
      <c r="C21" s="17"/>
      <c r="D21" s="17"/>
    </row>
    <row r="24" spans="1:40" x14ac:dyDescent="0.25">
      <c r="A24" s="17"/>
      <c r="B24" s="17"/>
      <c r="C24" s="17"/>
      <c r="D24" s="17"/>
      <c r="E24" s="17"/>
      <c r="F24" s="17"/>
      <c r="G24" s="17"/>
      <c r="H24" s="17"/>
      <c r="I24" s="17"/>
      <c r="J24" s="17"/>
    </row>
    <row r="25" spans="1:40" x14ac:dyDescent="0.25">
      <c r="A25" s="17"/>
      <c r="B25" s="17"/>
      <c r="C25" s="17"/>
      <c r="D25" s="17"/>
      <c r="E25" s="17"/>
      <c r="F25" s="17"/>
      <c r="G25" s="17"/>
      <c r="H25" s="17"/>
      <c r="I25" s="17"/>
      <c r="J25" s="17"/>
    </row>
    <row r="26" spans="1:40" x14ac:dyDescent="0.25">
      <c r="A26" s="17"/>
      <c r="B26" s="17"/>
      <c r="C26" s="17"/>
      <c r="D26" s="17"/>
      <c r="E26" s="17"/>
      <c r="F26" s="17"/>
      <c r="G26" s="17"/>
      <c r="H26" s="17"/>
      <c r="I26" s="17"/>
      <c r="J26" s="17"/>
    </row>
    <row r="27" spans="1:40" x14ac:dyDescent="0.25">
      <c r="A27" s="17"/>
      <c r="B27" s="17"/>
      <c r="C27" s="17"/>
      <c r="D27" s="17"/>
      <c r="E27" s="17"/>
      <c r="F27" s="17"/>
      <c r="G27" s="17"/>
      <c r="H27" s="17"/>
      <c r="I27" s="17"/>
      <c r="J27" s="17"/>
    </row>
    <row r="28" spans="1:40" x14ac:dyDescent="0.25">
      <c r="A28" s="17"/>
      <c r="B28" s="17"/>
      <c r="C28" s="17"/>
      <c r="D28" s="17"/>
      <c r="E28" s="17"/>
      <c r="F28" s="17"/>
      <c r="G28" s="17"/>
      <c r="H28" s="17"/>
      <c r="I28" s="17"/>
      <c r="J28" s="17"/>
    </row>
    <row r="29" spans="1:40" x14ac:dyDescent="0.25">
      <c r="A29" s="17"/>
      <c r="B29" s="17"/>
      <c r="C29" s="17"/>
      <c r="D29" s="17"/>
      <c r="E29" s="17"/>
      <c r="F29" s="17"/>
      <c r="G29" s="17"/>
      <c r="H29" s="17"/>
      <c r="I29" s="17"/>
      <c r="J29" s="17"/>
      <c r="T29" s="85"/>
    </row>
    <row r="30" spans="1:40" x14ac:dyDescent="0.25">
      <c r="A30" s="17"/>
      <c r="B30" s="17"/>
      <c r="C30" s="17"/>
      <c r="D30" s="17"/>
      <c r="E30" s="17"/>
      <c r="F30" s="17"/>
      <c r="G30" s="17"/>
      <c r="H30" s="17"/>
      <c r="I30" s="17"/>
      <c r="J30" s="17"/>
      <c r="T30" s="85"/>
    </row>
    <row r="31" spans="1:40" x14ac:dyDescent="0.25">
      <c r="A31" s="17"/>
      <c r="B31" s="17"/>
      <c r="C31" s="17"/>
      <c r="D31" s="17"/>
      <c r="E31" s="17"/>
      <c r="F31" s="17"/>
      <c r="G31" s="17"/>
      <c r="H31" s="17"/>
      <c r="I31" s="17"/>
      <c r="J31" s="17"/>
      <c r="T31" s="85"/>
    </row>
    <row r="32" spans="1:40" x14ac:dyDescent="0.25">
      <c r="A32" s="17"/>
      <c r="B32" s="17"/>
      <c r="C32" s="17"/>
      <c r="D32" s="17"/>
      <c r="E32" s="17"/>
      <c r="F32" s="17"/>
      <c r="G32" s="17"/>
      <c r="H32" s="17"/>
      <c r="I32" s="17"/>
      <c r="J32" s="17"/>
      <c r="T32" s="85"/>
    </row>
    <row r="33" spans="1:20" x14ac:dyDescent="0.25">
      <c r="A33" s="17"/>
      <c r="B33" s="17"/>
      <c r="C33" s="17"/>
      <c r="D33" s="17"/>
      <c r="E33" s="17"/>
      <c r="F33" s="17"/>
      <c r="G33" s="17"/>
      <c r="H33" s="17"/>
      <c r="I33" s="17"/>
      <c r="J33" s="17"/>
      <c r="T33" s="85"/>
    </row>
    <row r="34" spans="1:20" x14ac:dyDescent="0.25">
      <c r="A34" s="17"/>
      <c r="B34" s="17"/>
      <c r="C34" s="17"/>
      <c r="D34" s="17"/>
      <c r="E34" s="17"/>
      <c r="F34" s="17"/>
      <c r="G34" s="17"/>
      <c r="H34" s="17"/>
      <c r="I34" s="17"/>
      <c r="J34" s="17"/>
      <c r="T34" s="85"/>
    </row>
    <row r="35" spans="1:20" x14ac:dyDescent="0.25">
      <c r="A35" s="17"/>
      <c r="B35" s="17"/>
      <c r="C35" s="17"/>
      <c r="D35" s="17"/>
      <c r="E35" s="17"/>
      <c r="F35" s="17"/>
      <c r="G35" s="17"/>
      <c r="H35" s="17"/>
      <c r="I35" s="17"/>
      <c r="J35" s="17"/>
      <c r="T35" s="85"/>
    </row>
    <row r="36" spans="1:20" x14ac:dyDescent="0.25">
      <c r="A36" s="17"/>
      <c r="B36" s="17"/>
      <c r="C36" s="17"/>
      <c r="D36" s="17"/>
      <c r="E36" s="17"/>
      <c r="F36" s="17"/>
      <c r="G36" s="17"/>
      <c r="H36" s="17"/>
      <c r="I36" s="17"/>
      <c r="J36" s="17"/>
      <c r="T36" s="85"/>
    </row>
    <row r="37" spans="1:20" x14ac:dyDescent="0.25">
      <c r="A37" s="17"/>
      <c r="B37" s="17"/>
      <c r="C37" s="17"/>
      <c r="D37" s="17"/>
      <c r="E37" s="17"/>
      <c r="F37" s="17"/>
      <c r="G37" s="17"/>
      <c r="H37" s="17"/>
      <c r="I37" s="17"/>
      <c r="J37" s="17"/>
      <c r="T37" s="85"/>
    </row>
    <row r="38" spans="1:20" x14ac:dyDescent="0.25">
      <c r="A38" s="17"/>
      <c r="B38" s="17"/>
      <c r="C38" s="17"/>
      <c r="D38" s="17"/>
      <c r="E38" s="17"/>
      <c r="F38" s="17"/>
      <c r="G38" s="17"/>
      <c r="H38" s="17"/>
      <c r="I38" s="17"/>
      <c r="J38" s="17"/>
      <c r="T38" s="85"/>
    </row>
    <row r="39" spans="1:20" x14ac:dyDescent="0.25">
      <c r="A39" s="17"/>
      <c r="B39" s="17"/>
      <c r="C39" s="17"/>
      <c r="D39" s="17"/>
      <c r="E39" s="17"/>
      <c r="F39" s="17"/>
      <c r="G39" s="17"/>
      <c r="H39" s="17"/>
      <c r="I39" s="17"/>
      <c r="J39" s="17"/>
      <c r="T39" s="85"/>
    </row>
    <row r="40" spans="1:20" x14ac:dyDescent="0.25">
      <c r="A40" s="17"/>
      <c r="B40" s="17"/>
      <c r="C40" s="17"/>
      <c r="D40" s="17"/>
      <c r="E40" s="17"/>
      <c r="F40" s="17"/>
      <c r="G40" s="17"/>
      <c r="H40" s="17"/>
      <c r="I40" s="17"/>
      <c r="J40" s="17"/>
      <c r="T40" s="85"/>
    </row>
    <row r="41" spans="1:20" x14ac:dyDescent="0.25">
      <c r="A41" s="17"/>
      <c r="B41" s="17"/>
      <c r="C41" s="17"/>
      <c r="D41" s="17"/>
      <c r="E41" s="17"/>
      <c r="F41" s="17"/>
      <c r="G41" s="17"/>
      <c r="H41" s="17"/>
      <c r="I41" s="17"/>
      <c r="J41" s="17"/>
      <c r="T41" s="85"/>
    </row>
    <row r="42" spans="1:20" x14ac:dyDescent="0.25">
      <c r="A42" s="17"/>
      <c r="B42" s="17"/>
      <c r="C42" s="17"/>
      <c r="D42" s="17"/>
      <c r="E42" s="17"/>
      <c r="F42" s="17"/>
      <c r="G42" s="17"/>
      <c r="H42" s="17"/>
      <c r="I42" s="17"/>
      <c r="J42" s="17"/>
      <c r="T42" s="85"/>
    </row>
    <row r="43" spans="1:20" x14ac:dyDescent="0.25">
      <c r="A43" s="17"/>
      <c r="B43" s="17"/>
      <c r="C43" s="17"/>
      <c r="D43" s="17"/>
      <c r="E43" s="17"/>
      <c r="F43" s="17"/>
      <c r="G43" s="17"/>
      <c r="H43" s="17"/>
      <c r="I43" s="17"/>
      <c r="J43" s="17"/>
      <c r="T43" s="87"/>
    </row>
    <row r="44" spans="1:20" x14ac:dyDescent="0.25">
      <c r="T44" s="85"/>
    </row>
  </sheetData>
  <pageMargins left="0.70866141732283472" right="0.70866141732283472" top="0.74803149606299213" bottom="0.74803149606299213" header="0.31496062992125984" footer="0.31496062992125984"/>
  <pageSetup paperSize="9" scale="37" fitToHeight="0" orientation="landscape" r:id="rId1"/>
  <headerFooter>
    <oddFooter>&amp;L&amp;F&amp;C&amp;A&amp;R&amp;P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CoverSheet</vt:lpstr>
      <vt:lpstr>Description</vt:lpstr>
      <vt:lpstr>Table of Contents</vt:lpstr>
      <vt:lpstr>Data</vt:lpstr>
      <vt:lpstr>Selection</vt:lpstr>
      <vt:lpstr>Calculations</vt:lpstr>
      <vt:lpstr>Output</vt:lpstr>
      <vt:lpstr>5 year CPRG</vt:lpstr>
      <vt:lpstr>Charts</vt:lpstr>
      <vt:lpstr>AROC</vt:lpstr>
      <vt:lpstr>CAP</vt:lpstr>
      <vt:lpstr>MAR</vt:lpstr>
      <vt:lpstr>'5 year CPRG'!Print_Area</vt:lpstr>
      <vt:lpstr>Calculations!Print_Area</vt:lpstr>
      <vt:lpstr>Charts!Print_Area</vt:lpstr>
      <vt:lpstr>CoverSheet!Print_Area</vt:lpstr>
      <vt:lpstr>Data!Print_Area</vt:lpstr>
      <vt:lpstr>Description!Print_Area</vt:lpstr>
      <vt:lpstr>Output!Print_Area</vt:lpstr>
      <vt:lpstr>Selection!Print_Area</vt:lpstr>
      <vt:lpstr>'Table of Contents'!Print_Area</vt:lpstr>
      <vt:lpstr>Timing</vt:lpstr>
      <vt:lpstr>WACC</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Gordon</dc:creator>
  <cp:lastModifiedBy>hazelb</cp:lastModifiedBy>
  <cp:lastPrinted>2016-06-08T04:01:41Z</cp:lastPrinted>
  <dcterms:created xsi:type="dcterms:W3CDTF">2012-07-04T01:49:43Z</dcterms:created>
  <dcterms:modified xsi:type="dcterms:W3CDTF">2016-06-08T04:01:44Z</dcterms:modified>
</cp:coreProperties>
</file>