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50" windowWidth="7620" windowHeight="4395"/>
  </bookViews>
  <sheets>
    <sheet name="results" sheetId="6" r:id="rId1"/>
    <sheet name="calcs" sheetId="5" r:id="rId2"/>
    <sheet name="historical" sheetId="4" r:id="rId3"/>
  </sheets>
  <calcPr calcId="145621" calcOnSave="0"/>
</workbook>
</file>

<file path=xl/calcChain.xml><?xml version="1.0" encoding="utf-8"?>
<calcChain xmlns="http://schemas.openxmlformats.org/spreadsheetml/2006/main">
  <c r="F21" i="6" l="1"/>
  <c r="F20" i="6"/>
  <c r="E21" i="6"/>
  <c r="E20" i="6"/>
  <c r="F16" i="6"/>
  <c r="F15" i="6"/>
  <c r="E16" i="6"/>
  <c r="E15" i="6"/>
  <c r="H50" i="5"/>
  <c r="G50" i="5"/>
  <c r="F51" i="5"/>
  <c r="E51" i="5"/>
  <c r="I47" i="5"/>
  <c r="I46" i="5"/>
  <c r="H46" i="5"/>
  <c r="F47" i="5"/>
  <c r="H37" i="5" l="1"/>
  <c r="G37" i="5"/>
  <c r="F37" i="5"/>
  <c r="H36" i="5"/>
  <c r="G36" i="5"/>
  <c r="F36" i="5"/>
  <c r="E38" i="5"/>
  <c r="H28" i="5"/>
  <c r="H27" i="5"/>
  <c r="G28" i="5"/>
  <c r="G27" i="5"/>
  <c r="F28" i="5"/>
  <c r="F27" i="5"/>
  <c r="H29" i="5" l="1"/>
  <c r="F38" i="5" l="1"/>
  <c r="H12" i="5"/>
  <c r="G38" i="5" l="1"/>
  <c r="F29" i="5"/>
  <c r="G29" i="5"/>
  <c r="G12" i="5"/>
  <c r="E11" i="5"/>
  <c r="E10" i="5"/>
  <c r="D10" i="5"/>
  <c r="H7" i="5"/>
  <c r="F7" i="5"/>
  <c r="H6" i="5"/>
  <c r="F6" i="5"/>
  <c r="K18" i="4"/>
  <c r="K16" i="4"/>
  <c r="K14" i="4"/>
  <c r="K12" i="4"/>
  <c r="K21" i="4"/>
  <c r="J21" i="4"/>
  <c r="I21" i="4"/>
  <c r="H21" i="4"/>
  <c r="G21" i="4"/>
  <c r="F21" i="4"/>
  <c r="K20" i="4"/>
  <c r="J20" i="4"/>
  <c r="I20" i="4"/>
  <c r="H20" i="4"/>
  <c r="G20" i="4"/>
  <c r="F20" i="4"/>
  <c r="E20" i="4"/>
  <c r="E21" i="4"/>
  <c r="K17" i="4"/>
  <c r="K15" i="4"/>
  <c r="K13" i="4"/>
  <c r="K11" i="4"/>
  <c r="F11" i="5" l="1"/>
  <c r="H38" i="5"/>
  <c r="H11" i="5"/>
  <c r="D13" i="5"/>
  <c r="G21" i="5" s="1"/>
  <c r="H10" i="5"/>
  <c r="F10" i="5"/>
  <c r="G7" i="5"/>
  <c r="H16" i="5" l="1"/>
  <c r="H31" i="5" s="1"/>
  <c r="F4" i="6" s="1"/>
  <c r="G19" i="5"/>
  <c r="F20" i="5"/>
  <c r="F16" i="5"/>
  <c r="F32" i="5" s="1"/>
  <c r="F5" i="6" s="1"/>
  <c r="H20" i="5"/>
  <c r="E20" i="5"/>
  <c r="E21" i="5"/>
  <c r="D16" i="5"/>
  <c r="D21" i="5"/>
  <c r="G16" i="5"/>
  <c r="D20" i="5"/>
  <c r="E19" i="5"/>
  <c r="F21" i="5"/>
  <c r="D19" i="5"/>
  <c r="E16" i="5"/>
  <c r="H21" i="5"/>
  <c r="F19" i="5"/>
  <c r="H19" i="5"/>
  <c r="F13" i="5"/>
  <c r="G10" i="5"/>
  <c r="H13" i="5"/>
  <c r="G11" i="5"/>
  <c r="G20" i="5" s="1"/>
  <c r="G13" i="5" l="1"/>
  <c r="E13" i="5"/>
  <c r="F22" i="5" l="1"/>
  <c r="F42" i="5" s="1"/>
  <c r="F10" i="6" s="1"/>
  <c r="E22" i="5"/>
  <c r="E42" i="5" s="1"/>
  <c r="E10" i="6" s="1"/>
  <c r="H22" i="5"/>
  <c r="H41" i="5" s="1"/>
  <c r="F9" i="6" s="1"/>
  <c r="D22" i="5"/>
  <c r="G22" i="5"/>
  <c r="G41" i="5" s="1"/>
  <c r="E9" i="6" s="1"/>
</calcChain>
</file>

<file path=xl/sharedStrings.xml><?xml version="1.0" encoding="utf-8"?>
<sst xmlns="http://schemas.openxmlformats.org/spreadsheetml/2006/main" count="97" uniqueCount="54">
  <si>
    <t>Historical MCTOW split between Jet and Turbo Prop (set in 2000)</t>
  </si>
  <si>
    <t>Jet Share</t>
  </si>
  <si>
    <t>Turbo Share</t>
  </si>
  <si>
    <t>MCTOW and Revenue Breakdown between Jet and Turbo Prop</t>
  </si>
  <si>
    <t>Jet</t>
  </si>
  <si>
    <t>MCTOW</t>
  </si>
  <si>
    <t>%Total</t>
  </si>
  <si>
    <t>Revenue</t>
  </si>
  <si>
    <t>Turbo Prop</t>
  </si>
  <si>
    <t>Depreciation</t>
  </si>
  <si>
    <t>Opex</t>
  </si>
  <si>
    <t>Movements</t>
  </si>
  <si>
    <t>MCTOW Charge</t>
  </si>
  <si>
    <t>Turbo</t>
  </si>
  <si>
    <t>Total</t>
  </si>
  <si>
    <t>Total Revenue</t>
  </si>
  <si>
    <t>Total MCTOW</t>
  </si>
  <si>
    <t>Notes</t>
  </si>
  <si>
    <t>Total Annual Costs</t>
  </si>
  <si>
    <t>Costs Recovered from per movement charge</t>
  </si>
  <si>
    <t>tonnes</t>
  </si>
  <si>
    <t>Incremental</t>
  </si>
  <si>
    <t>Standalone</t>
  </si>
  <si>
    <t>Based on BECA estimate that a turbo prop only field is 33% of the total capital cost</t>
  </si>
  <si>
    <t>Based on prorata capital cost</t>
  </si>
  <si>
    <t>Turboprop</t>
  </si>
  <si>
    <t>Costs Recovered from MCTOW charge</t>
  </si>
  <si>
    <t>Return on Land</t>
  </si>
  <si>
    <t>Return on Pavement</t>
  </si>
  <si>
    <t>Jet movement charge</t>
  </si>
  <si>
    <t>Turbo movement charge</t>
  </si>
  <si>
    <t>Based on prorata capital cost plus nominal incremental turbo cost</t>
  </si>
  <si>
    <t>Land costs are movement related</t>
  </si>
  <si>
    <t>Costs</t>
  </si>
  <si>
    <t>in 2013</t>
  </si>
  <si>
    <t>All other costs are weight related</t>
  </si>
  <si>
    <t>No incremental costs for land</t>
  </si>
  <si>
    <t>Land Capital Cost</t>
  </si>
  <si>
    <t>Pavement etc Capital Cost</t>
  </si>
  <si>
    <t>Indicative Costs in 2013</t>
  </si>
  <si>
    <t>Return of Capital</t>
  </si>
  <si>
    <t>Indicative Capital Values in 2013</t>
  </si>
  <si>
    <t>At WACC of 13.6%</t>
  </si>
  <si>
    <t>Movement Related Costs</t>
  </si>
  <si>
    <t>Weight Related Costs</t>
  </si>
  <si>
    <t>Scaling factor</t>
  </si>
  <si>
    <t>Jet movement charge (scaled)</t>
  </si>
  <si>
    <t>Turbo movement charge (scaled)</t>
  </si>
  <si>
    <t>50 % of stand-alone</t>
  </si>
  <si>
    <t>Movement (unscaled)</t>
  </si>
  <si>
    <t>Weight (unscaled)</t>
  </si>
  <si>
    <t>Movement (scaled)</t>
  </si>
  <si>
    <t>Weight (scaled)</t>
  </si>
  <si>
    <t>Result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</si>
</sst>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0.0%"/>
    <numFmt numFmtId="166" formatCode="0.0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9" fontId="0" fillId="0" borderId="0" xfId="2" applyFont="1"/>
    <xf numFmtId="0" fontId="2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0" fontId="4" fillId="0" borderId="7" xfId="0" applyNumberFormat="1" applyFont="1" applyBorder="1" applyAlignment="1">
      <alignment horizontal="right" vertical="center"/>
    </xf>
    <xf numFmtId="10" fontId="4" fillId="0" borderId="8" xfId="0" applyNumberFormat="1" applyFont="1" applyBorder="1" applyAlignment="1">
      <alignment horizontal="right" vertical="center"/>
    </xf>
    <xf numFmtId="6" fontId="4" fillId="0" borderId="7" xfId="0" applyNumberFormat="1" applyFont="1" applyBorder="1" applyAlignment="1">
      <alignment horizontal="right" vertical="center"/>
    </xf>
    <xf numFmtId="6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10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3" fontId="0" fillId="0" borderId="0" xfId="0" applyNumberFormat="1"/>
    <xf numFmtId="44" fontId="0" fillId="0" borderId="0" xfId="0" applyNumberFormat="1"/>
    <xf numFmtId="165" fontId="0" fillId="0" borderId="0" xfId="2" applyNumberFormat="1" applyFont="1"/>
    <xf numFmtId="6" fontId="0" fillId="0" borderId="0" xfId="0" applyNumberFormat="1"/>
    <xf numFmtId="10" fontId="0" fillId="0" borderId="0" xfId="2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166" fontId="0" fillId="0" borderId="0" xfId="0" applyNumberFormat="1"/>
    <xf numFmtId="2" fontId="0" fillId="0" borderId="0" xfId="0" applyNumberFormat="1"/>
    <xf numFmtId="0" fontId="7" fillId="0" borderId="0" xfId="0" applyFont="1"/>
    <xf numFmtId="165" fontId="6" fillId="0" borderId="0" xfId="2" applyNumberFormat="1" applyFont="1"/>
    <xf numFmtId="0" fontId="0" fillId="0" borderId="0" xfId="0" applyAlignment="1">
      <alignment horizontal="center"/>
    </xf>
    <xf numFmtId="0" fontId="0" fillId="0" borderId="0" xfId="0" applyFont="1"/>
    <xf numFmtId="0" fontId="6" fillId="0" borderId="0" xfId="0" quotePrefix="1" applyFont="1"/>
    <xf numFmtId="164" fontId="6" fillId="0" borderId="0" xfId="1" applyNumberFormat="1" applyFont="1"/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E19" sqref="E19:F19"/>
    </sheetView>
  </sheetViews>
  <sheetFormatPr defaultRowHeight="15" x14ac:dyDescent="0.25"/>
  <cols>
    <col min="4" max="4" width="17.42578125" customWidth="1"/>
    <col min="5" max="5" width="16.28515625" customWidth="1"/>
    <col min="6" max="6" width="18.28515625" customWidth="1"/>
    <col min="7" max="7" width="10.28515625" customWidth="1"/>
    <col min="8" max="10" width="12.7109375" customWidth="1"/>
  </cols>
  <sheetData>
    <row r="1" spans="1:11" x14ac:dyDescent="0.25">
      <c r="A1" s="25" t="s">
        <v>53</v>
      </c>
    </row>
    <row r="2" spans="1:11" x14ac:dyDescent="0.25">
      <c r="C2" s="25" t="s">
        <v>49</v>
      </c>
      <c r="G2" s="25"/>
    </row>
    <row r="3" spans="1:11" x14ac:dyDescent="0.25">
      <c r="E3" s="26" t="s">
        <v>21</v>
      </c>
      <c r="F3" s="26" t="s">
        <v>22</v>
      </c>
    </row>
    <row r="4" spans="1:11" ht="14.45" x14ac:dyDescent="0.3">
      <c r="D4" t="s">
        <v>4</v>
      </c>
      <c r="E4" s="36">
        <v>12</v>
      </c>
      <c r="F4" s="36">
        <f>calcs!H31</f>
        <v>498.52</v>
      </c>
      <c r="H4" s="21"/>
      <c r="I4" s="21"/>
      <c r="J4" s="21"/>
      <c r="K4" s="21"/>
    </row>
    <row r="5" spans="1:11" ht="14.45" x14ac:dyDescent="0.3">
      <c r="D5" t="s">
        <v>25</v>
      </c>
      <c r="E5" s="36">
        <v>12</v>
      </c>
      <c r="F5" s="36">
        <f>calcs!F32</f>
        <v>556.96</v>
      </c>
      <c r="H5" s="21"/>
      <c r="I5" s="21"/>
      <c r="J5" s="21"/>
      <c r="K5" s="21"/>
    </row>
    <row r="6" spans="1:11" ht="14.45" x14ac:dyDescent="0.3">
      <c r="E6" s="37"/>
      <c r="F6" s="37"/>
    </row>
    <row r="7" spans="1:11" x14ac:dyDescent="0.25">
      <c r="C7" s="25" t="s">
        <v>50</v>
      </c>
      <c r="E7" s="32"/>
      <c r="F7" s="32"/>
    </row>
    <row r="8" spans="1:11" x14ac:dyDescent="0.25">
      <c r="E8" s="26" t="s">
        <v>21</v>
      </c>
      <c r="F8" s="26" t="s">
        <v>22</v>
      </c>
      <c r="J8" s="25"/>
    </row>
    <row r="9" spans="1:11" ht="14.45" x14ac:dyDescent="0.3">
      <c r="D9" t="s">
        <v>4</v>
      </c>
      <c r="E9" s="38">
        <f>calcs!G41</f>
        <v>14.17</v>
      </c>
      <c r="F9" s="38">
        <f>calcs!H41</f>
        <v>23.39</v>
      </c>
    </row>
    <row r="10" spans="1:11" ht="14.45" x14ac:dyDescent="0.3">
      <c r="D10" t="s">
        <v>25</v>
      </c>
      <c r="E10" s="39">
        <f>calcs!E42</f>
        <v>2.4300000000000002</v>
      </c>
      <c r="F10" s="38">
        <f>calcs!F42</f>
        <v>31.5</v>
      </c>
    </row>
    <row r="13" spans="1:11" x14ac:dyDescent="0.25">
      <c r="C13" s="25" t="s">
        <v>51</v>
      </c>
    </row>
    <row r="14" spans="1:11" x14ac:dyDescent="0.25">
      <c r="E14" s="26" t="s">
        <v>21</v>
      </c>
      <c r="F14" s="26" t="s">
        <v>22</v>
      </c>
    </row>
    <row r="15" spans="1:11" x14ac:dyDescent="0.25">
      <c r="D15" t="s">
        <v>4</v>
      </c>
      <c r="E15" s="36">
        <f>E4*0.59</f>
        <v>7.08</v>
      </c>
      <c r="F15" s="36">
        <f>F4*0.59</f>
        <v>294.12679999999995</v>
      </c>
    </row>
    <row r="16" spans="1:11" x14ac:dyDescent="0.25">
      <c r="D16" t="s">
        <v>25</v>
      </c>
      <c r="E16" s="36">
        <f>E5*0.59</f>
        <v>7.08</v>
      </c>
      <c r="F16" s="36">
        <f>F5*0.59</f>
        <v>328.60640000000001</v>
      </c>
    </row>
    <row r="17" spans="3:13" x14ac:dyDescent="0.25">
      <c r="E17" s="37"/>
      <c r="F17" s="37"/>
    </row>
    <row r="18" spans="3:13" x14ac:dyDescent="0.25">
      <c r="C18" s="25" t="s">
        <v>52</v>
      </c>
      <c r="E18" s="32"/>
      <c r="F18" s="32"/>
    </row>
    <row r="19" spans="3:13" x14ac:dyDescent="0.25">
      <c r="E19" s="26" t="s">
        <v>21</v>
      </c>
      <c r="F19" s="26" t="s">
        <v>22</v>
      </c>
    </row>
    <row r="20" spans="3:13" x14ac:dyDescent="0.25">
      <c r="D20" t="s">
        <v>4</v>
      </c>
      <c r="E20" s="38">
        <f>E9*0.59</f>
        <v>8.3602999999999987</v>
      </c>
      <c r="F20" s="38">
        <f>F9*0.59</f>
        <v>13.8001</v>
      </c>
    </row>
    <row r="21" spans="3:13" x14ac:dyDescent="0.25">
      <c r="D21" t="s">
        <v>25</v>
      </c>
      <c r="E21" s="39">
        <f>E10*0.59</f>
        <v>1.4337</v>
      </c>
      <c r="F21" s="38">
        <f>F10*0.59</f>
        <v>18.584999999999997</v>
      </c>
    </row>
    <row r="30" spans="3:13" x14ac:dyDescent="0.25">
      <c r="E30" s="32"/>
      <c r="F30" s="32"/>
    </row>
    <row r="32" spans="3:13" x14ac:dyDescent="0.25">
      <c r="E32" s="1"/>
      <c r="F32" s="1"/>
      <c r="L32" s="21"/>
      <c r="M32" s="21"/>
    </row>
    <row r="33" spans="5:13" x14ac:dyDescent="0.25">
      <c r="E33" s="1"/>
      <c r="F33" s="1"/>
      <c r="L33" s="21"/>
      <c r="M33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opLeftCell="A25" workbookViewId="0">
      <selection activeCell="A52" sqref="A1:M52"/>
    </sheetView>
  </sheetViews>
  <sheetFormatPr defaultRowHeight="15" x14ac:dyDescent="0.25"/>
  <cols>
    <col min="1" max="1" width="2.42578125" customWidth="1"/>
    <col min="2" max="2" width="5.28515625" customWidth="1"/>
    <col min="3" max="3" width="36.42578125" customWidth="1"/>
    <col min="4" max="4" width="15.7109375" customWidth="1"/>
    <col min="5" max="5" width="14.7109375" customWidth="1"/>
    <col min="6" max="6" width="12.5703125" customWidth="1"/>
    <col min="7" max="7" width="14.42578125" customWidth="1"/>
    <col min="8" max="8" width="14.7109375" customWidth="1"/>
    <col min="9" max="9" width="29.28515625" customWidth="1"/>
    <col min="11" max="11" width="4.28515625" customWidth="1"/>
    <col min="12" max="12" width="8" customWidth="1"/>
  </cols>
  <sheetData>
    <row r="1" spans="1:13" x14ac:dyDescent="0.25">
      <c r="A1" s="30"/>
    </row>
    <row r="2" spans="1:13" x14ac:dyDescent="0.25">
      <c r="A2" s="30"/>
    </row>
    <row r="3" spans="1:13" x14ac:dyDescent="0.25">
      <c r="D3" s="26" t="s">
        <v>14</v>
      </c>
      <c r="E3" s="27" t="s">
        <v>21</v>
      </c>
      <c r="F3" s="27" t="s">
        <v>22</v>
      </c>
      <c r="G3" s="27" t="s">
        <v>21</v>
      </c>
      <c r="H3" s="27" t="s">
        <v>22</v>
      </c>
      <c r="I3" s="26" t="s">
        <v>17</v>
      </c>
    </row>
    <row r="4" spans="1:13" x14ac:dyDescent="0.25">
      <c r="D4" s="26" t="s">
        <v>33</v>
      </c>
      <c r="E4" s="26" t="s">
        <v>13</v>
      </c>
      <c r="F4" s="26" t="s">
        <v>13</v>
      </c>
      <c r="G4" s="26" t="s">
        <v>4</v>
      </c>
      <c r="H4" s="26" t="s">
        <v>4</v>
      </c>
      <c r="I4" s="25"/>
    </row>
    <row r="5" spans="1:13" x14ac:dyDescent="0.25">
      <c r="B5" s="25" t="s">
        <v>41</v>
      </c>
    </row>
    <row r="6" spans="1:13" x14ac:dyDescent="0.25">
      <c r="C6" t="s">
        <v>37</v>
      </c>
      <c r="D6" s="18">
        <v>78.400000000000006</v>
      </c>
      <c r="E6" s="18">
        <v>0</v>
      </c>
      <c r="F6" s="18">
        <f>+D6</f>
        <v>78.400000000000006</v>
      </c>
      <c r="G6" s="18">
        <v>0</v>
      </c>
      <c r="H6" s="18">
        <f>+D6</f>
        <v>78.400000000000006</v>
      </c>
      <c r="I6" s="25" t="s">
        <v>36</v>
      </c>
    </row>
    <row r="7" spans="1:13" ht="43.15" x14ac:dyDescent="0.3">
      <c r="C7" t="s">
        <v>38</v>
      </c>
      <c r="D7" s="18">
        <v>140.6</v>
      </c>
      <c r="E7" s="18">
        <v>0</v>
      </c>
      <c r="F7" s="18">
        <f>+D7*0.33</f>
        <v>46.398000000000003</v>
      </c>
      <c r="G7" s="18">
        <f>+D7-F7</f>
        <v>94.201999999999998</v>
      </c>
      <c r="H7" s="18">
        <f>+D7</f>
        <v>140.6</v>
      </c>
      <c r="I7" s="40" t="s">
        <v>23</v>
      </c>
    </row>
    <row r="8" spans="1:13" x14ac:dyDescent="0.25">
      <c r="D8" s="18"/>
      <c r="E8" s="18"/>
      <c r="F8" s="18"/>
      <c r="G8" s="18"/>
      <c r="H8" s="18"/>
      <c r="I8" s="25"/>
    </row>
    <row r="9" spans="1:13" x14ac:dyDescent="0.25">
      <c r="B9" s="25" t="s">
        <v>39</v>
      </c>
      <c r="D9" s="18"/>
      <c r="E9" s="18"/>
      <c r="F9" s="18"/>
      <c r="G9" s="18"/>
      <c r="H9" s="18"/>
      <c r="I9" s="25"/>
    </row>
    <row r="10" spans="1:13" ht="20.25" customHeight="1" x14ac:dyDescent="0.25">
      <c r="C10" t="s">
        <v>40</v>
      </c>
      <c r="D10" s="18">
        <f>(+D6+D7)*$J10</f>
        <v>29.784000000000002</v>
      </c>
      <c r="E10" s="18">
        <f>(+E6+E7)*$J10</f>
        <v>0</v>
      </c>
      <c r="F10" s="18">
        <f>(+F6+F7)*$J10</f>
        <v>16.972528000000001</v>
      </c>
      <c r="G10" s="18">
        <f>(+G6+G7)*$J10</f>
        <v>12.811472</v>
      </c>
      <c r="H10" s="18">
        <f>(+H6+H7)*$J10</f>
        <v>29.784000000000002</v>
      </c>
      <c r="I10" s="25" t="s">
        <v>42</v>
      </c>
      <c r="J10" s="31">
        <v>0.13600000000000001</v>
      </c>
    </row>
    <row r="11" spans="1:13" ht="23.25" customHeight="1" x14ac:dyDescent="0.25">
      <c r="C11" t="s">
        <v>9</v>
      </c>
      <c r="D11" s="18">
        <v>4.2</v>
      </c>
      <c r="E11" s="18">
        <f>+E7/20</f>
        <v>0</v>
      </c>
      <c r="F11" s="18">
        <f>+$D11*(F7/$D7)</f>
        <v>1.3860000000000001</v>
      </c>
      <c r="G11" s="18">
        <f>+$D11*(G7/$D7)</f>
        <v>2.8140000000000005</v>
      </c>
      <c r="H11" s="18">
        <f>+$D11*(H7/$D7)</f>
        <v>4.2</v>
      </c>
      <c r="I11" s="25" t="s">
        <v>24</v>
      </c>
    </row>
    <row r="12" spans="1:13" ht="45" x14ac:dyDescent="0.25">
      <c r="C12" t="s">
        <v>10</v>
      </c>
      <c r="D12" s="18">
        <v>10.5</v>
      </c>
      <c r="E12" s="18">
        <v>1</v>
      </c>
      <c r="F12" s="18">
        <v>5.25</v>
      </c>
      <c r="G12" s="18">
        <f>+H12-F12</f>
        <v>4.25</v>
      </c>
      <c r="H12" s="18">
        <f>+D12-E12</f>
        <v>9.5</v>
      </c>
      <c r="I12" s="40" t="s">
        <v>31</v>
      </c>
    </row>
    <row r="13" spans="1:13" ht="19.5" customHeight="1" x14ac:dyDescent="0.25">
      <c r="C13" s="25" t="s">
        <v>18</v>
      </c>
      <c r="D13" s="35">
        <f>SUM(D10:D12)</f>
        <v>44.484000000000002</v>
      </c>
      <c r="E13" s="35">
        <f t="shared" ref="E13:H13" si="0">SUM(E10:E12)</f>
        <v>1</v>
      </c>
      <c r="F13" s="35">
        <f t="shared" si="0"/>
        <v>23.608528</v>
      </c>
      <c r="G13" s="35">
        <f t="shared" si="0"/>
        <v>19.875472000000002</v>
      </c>
      <c r="H13" s="35">
        <f t="shared" si="0"/>
        <v>43.484000000000002</v>
      </c>
      <c r="I13" s="25"/>
    </row>
    <row r="14" spans="1:13" x14ac:dyDescent="0.25">
      <c r="C14" s="25"/>
      <c r="D14" s="18"/>
      <c r="E14" s="18"/>
      <c r="F14" s="18"/>
      <c r="G14" s="18"/>
      <c r="H14" s="18"/>
      <c r="I14" s="25"/>
    </row>
    <row r="15" spans="1:13" x14ac:dyDescent="0.25">
      <c r="B15" s="25" t="s">
        <v>43</v>
      </c>
      <c r="C15" s="25"/>
      <c r="D15" s="18"/>
      <c r="E15" s="18"/>
      <c r="F15" s="18"/>
      <c r="G15" s="18"/>
      <c r="H15" s="18"/>
      <c r="I15" s="25"/>
    </row>
    <row r="16" spans="1:13" x14ac:dyDescent="0.25">
      <c r="C16" s="33" t="s">
        <v>27</v>
      </c>
      <c r="D16" s="35">
        <f>+D6*$J$10*$L16</f>
        <v>10.662400000000002</v>
      </c>
      <c r="E16" s="35">
        <f>+E6*$J$10*$L16</f>
        <v>0</v>
      </c>
      <c r="F16" s="35">
        <f>+F6*$J$10*$L16</f>
        <v>10.662400000000002</v>
      </c>
      <c r="G16" s="35">
        <f>+G6*$J$10*$L16</f>
        <v>0</v>
      </c>
      <c r="H16" s="35">
        <f>+H6*$J$10*$L16</f>
        <v>10.662400000000002</v>
      </c>
      <c r="I16" s="25" t="s">
        <v>32</v>
      </c>
      <c r="L16" s="31">
        <v>1</v>
      </c>
      <c r="M16" s="25" t="s">
        <v>34</v>
      </c>
    </row>
    <row r="17" spans="2:12" x14ac:dyDescent="0.25">
      <c r="C17" s="33"/>
      <c r="D17" s="18"/>
      <c r="E17" s="18"/>
      <c r="F17" s="18"/>
      <c r="G17" s="18"/>
      <c r="H17" s="18"/>
      <c r="I17" s="25"/>
    </row>
    <row r="18" spans="2:12" x14ac:dyDescent="0.25">
      <c r="B18" s="25" t="s">
        <v>44</v>
      </c>
      <c r="C18" s="25"/>
      <c r="D18" s="18"/>
      <c r="E18" s="18"/>
      <c r="F18" s="18"/>
      <c r="G18" s="18"/>
      <c r="H18" s="18"/>
      <c r="I18" s="25"/>
    </row>
    <row r="19" spans="2:12" x14ac:dyDescent="0.25">
      <c r="C19" s="33" t="s">
        <v>28</v>
      </c>
      <c r="D19" s="18">
        <f>+D7*$J$10*$L$16</f>
        <v>19.121600000000001</v>
      </c>
      <c r="E19" s="18">
        <f>+E7*$J$10*$L$16</f>
        <v>0</v>
      </c>
      <c r="F19" s="18">
        <f>+F7*$J$10*$L$16</f>
        <v>6.3101280000000006</v>
      </c>
      <c r="G19" s="18">
        <f>+G7*$J$10*$L$16</f>
        <v>12.811472</v>
      </c>
      <c r="H19" s="18">
        <f>+H7*$J$10*$L$16</f>
        <v>19.121600000000001</v>
      </c>
      <c r="I19" s="25" t="s">
        <v>35</v>
      </c>
    </row>
    <row r="20" spans="2:12" ht="20.25" customHeight="1" x14ac:dyDescent="0.25">
      <c r="C20" s="33" t="s">
        <v>9</v>
      </c>
      <c r="D20" s="18">
        <f t="shared" ref="D20:H21" si="1">+D11*$L$16</f>
        <v>4.2</v>
      </c>
      <c r="E20" s="18">
        <f t="shared" si="1"/>
        <v>0</v>
      </c>
      <c r="F20" s="18">
        <f t="shared" si="1"/>
        <v>1.3860000000000001</v>
      </c>
      <c r="G20" s="18">
        <f t="shared" si="1"/>
        <v>2.8140000000000005</v>
      </c>
      <c r="H20" s="18">
        <f t="shared" si="1"/>
        <v>4.2</v>
      </c>
      <c r="I20" s="25"/>
    </row>
    <row r="21" spans="2:12" ht="21.75" customHeight="1" x14ac:dyDescent="0.25">
      <c r="C21" s="33" t="s">
        <v>10</v>
      </c>
      <c r="D21" s="18">
        <f t="shared" si="1"/>
        <v>10.5</v>
      </c>
      <c r="E21" s="18">
        <f t="shared" si="1"/>
        <v>1</v>
      </c>
      <c r="F21" s="18">
        <f t="shared" si="1"/>
        <v>5.25</v>
      </c>
      <c r="G21" s="18">
        <f t="shared" si="1"/>
        <v>4.25</v>
      </c>
      <c r="H21" s="18">
        <f t="shared" si="1"/>
        <v>9.5</v>
      </c>
      <c r="I21" s="25"/>
    </row>
    <row r="22" spans="2:12" ht="18" customHeight="1" x14ac:dyDescent="0.25">
      <c r="C22" s="34" t="s">
        <v>14</v>
      </c>
      <c r="D22" s="35">
        <f>+SUM(D19:D21)</f>
        <v>33.821600000000004</v>
      </c>
      <c r="E22" s="35">
        <f t="shared" ref="E22:H22" si="2">+SUM(E19:E21)</f>
        <v>1</v>
      </c>
      <c r="F22" s="35">
        <f t="shared" si="2"/>
        <v>12.946128000000002</v>
      </c>
      <c r="G22" s="35">
        <f t="shared" si="2"/>
        <v>19.875472000000002</v>
      </c>
      <c r="H22" s="35">
        <f t="shared" si="2"/>
        <v>32.821600000000004</v>
      </c>
      <c r="I22" s="25"/>
    </row>
    <row r="23" spans="2:12" x14ac:dyDescent="0.25">
      <c r="C23" s="34"/>
      <c r="D23" s="35"/>
      <c r="E23" s="35"/>
      <c r="F23" s="35"/>
      <c r="G23" s="35"/>
      <c r="H23" s="35"/>
      <c r="I23" s="25"/>
    </row>
    <row r="24" spans="2:12" x14ac:dyDescent="0.25">
      <c r="I24" s="25"/>
    </row>
    <row r="25" spans="2:12" x14ac:dyDescent="0.25">
      <c r="B25" s="25" t="s">
        <v>19</v>
      </c>
    </row>
    <row r="26" spans="2:12" ht="21" customHeight="1" x14ac:dyDescent="0.25">
      <c r="C26" s="25" t="s">
        <v>11</v>
      </c>
      <c r="D26" s="19"/>
      <c r="E26" s="19"/>
      <c r="F26" s="19"/>
      <c r="G26" s="19"/>
      <c r="H26" s="19"/>
      <c r="I26" s="25"/>
    </row>
    <row r="27" spans="2:12" x14ac:dyDescent="0.25">
      <c r="B27" s="25"/>
      <c r="C27" t="s">
        <v>4</v>
      </c>
      <c r="D27" s="20"/>
      <c r="E27" s="20">
        <v>21388</v>
      </c>
      <c r="F27" s="20">
        <f>+$E27</f>
        <v>21388</v>
      </c>
      <c r="G27" s="20">
        <f>+$E27</f>
        <v>21388</v>
      </c>
      <c r="H27" s="20">
        <f>+$E27</f>
        <v>21388</v>
      </c>
      <c r="I27" s="25"/>
      <c r="J27" s="18"/>
    </row>
    <row r="28" spans="2:12" x14ac:dyDescent="0.25">
      <c r="B28" s="25"/>
      <c r="C28" t="s">
        <v>13</v>
      </c>
      <c r="D28" s="20"/>
      <c r="E28" s="20">
        <v>19144</v>
      </c>
      <c r="F28" s="20">
        <f t="shared" ref="F28:H28" si="3">+$E28</f>
        <v>19144</v>
      </c>
      <c r="G28" s="20">
        <f t="shared" si="3"/>
        <v>19144</v>
      </c>
      <c r="H28" s="20">
        <f t="shared" si="3"/>
        <v>19144</v>
      </c>
      <c r="J28" s="18"/>
    </row>
    <row r="29" spans="2:12" x14ac:dyDescent="0.25">
      <c r="B29" s="25"/>
      <c r="C29" s="25" t="s">
        <v>14</v>
      </c>
      <c r="D29" s="20"/>
      <c r="E29" s="20">
        <v>40532</v>
      </c>
      <c r="F29" s="20">
        <f t="shared" ref="F29:G29" si="4">SUM(F27:F28)</f>
        <v>40532</v>
      </c>
      <c r="G29" s="20">
        <f t="shared" si="4"/>
        <v>40532</v>
      </c>
      <c r="H29" s="20">
        <f t="shared" ref="H29" si="5">SUM(H27:H28)</f>
        <v>40532</v>
      </c>
      <c r="J29" s="19"/>
    </row>
    <row r="31" spans="2:12" x14ac:dyDescent="0.25">
      <c r="B31" s="25" t="s">
        <v>29</v>
      </c>
      <c r="D31" s="21"/>
      <c r="E31" s="21">
        <v>0</v>
      </c>
      <c r="F31" s="21">
        <v>0</v>
      </c>
      <c r="G31" s="21">
        <v>0</v>
      </c>
      <c r="H31" s="21">
        <f>ROUND(+H16*1000000/H27,2)</f>
        <v>498.52</v>
      </c>
      <c r="J31" s="1"/>
      <c r="K31" s="31"/>
      <c r="L31" s="25"/>
    </row>
    <row r="32" spans="2:12" x14ac:dyDescent="0.25">
      <c r="B32" s="25" t="s">
        <v>30</v>
      </c>
      <c r="D32" s="21"/>
      <c r="E32" s="21">
        <v>0</v>
      </c>
      <c r="F32" s="21">
        <f>ROUND(+F16*1000000/F28,2)</f>
        <v>556.96</v>
      </c>
      <c r="G32" s="21">
        <v>0</v>
      </c>
      <c r="H32" s="21">
        <v>0</v>
      </c>
      <c r="J32" s="1"/>
    </row>
    <row r="33" spans="2:11" x14ac:dyDescent="0.25">
      <c r="C33" s="25"/>
      <c r="D33" s="21"/>
      <c r="E33" s="21"/>
      <c r="F33" s="21"/>
      <c r="G33" s="21"/>
      <c r="H33" s="21"/>
      <c r="J33" s="21"/>
    </row>
    <row r="34" spans="2:11" x14ac:dyDescent="0.25">
      <c r="B34" s="25" t="s">
        <v>26</v>
      </c>
    </row>
    <row r="35" spans="2:11" x14ac:dyDescent="0.25">
      <c r="B35" s="25"/>
      <c r="C35" s="25" t="s">
        <v>5</v>
      </c>
    </row>
    <row r="36" spans="2:11" x14ac:dyDescent="0.25">
      <c r="C36" t="s">
        <v>4</v>
      </c>
      <c r="D36" t="s">
        <v>20</v>
      </c>
      <c r="E36" s="20">
        <v>1403000</v>
      </c>
      <c r="F36" s="20">
        <f>+$E36</f>
        <v>1403000</v>
      </c>
      <c r="G36" s="20">
        <f t="shared" ref="G36:H37" si="6">+$E36</f>
        <v>1403000</v>
      </c>
      <c r="H36" s="20">
        <f t="shared" si="6"/>
        <v>1403000</v>
      </c>
    </row>
    <row r="37" spans="2:11" x14ac:dyDescent="0.25">
      <c r="C37" t="s">
        <v>13</v>
      </c>
      <c r="D37" t="s">
        <v>20</v>
      </c>
      <c r="E37" s="20">
        <v>411000</v>
      </c>
      <c r="F37" s="20">
        <f t="shared" ref="F37" si="7">+$E37</f>
        <v>411000</v>
      </c>
      <c r="G37" s="20">
        <f t="shared" si="6"/>
        <v>411000</v>
      </c>
      <c r="H37" s="20">
        <f t="shared" si="6"/>
        <v>411000</v>
      </c>
    </row>
    <row r="38" spans="2:11" x14ac:dyDescent="0.25">
      <c r="C38" t="s">
        <v>14</v>
      </c>
      <c r="D38" t="s">
        <v>20</v>
      </c>
      <c r="E38" s="20">
        <f>+SUM(E36:E37)</f>
        <v>1814000</v>
      </c>
      <c r="F38" s="20">
        <f t="shared" ref="F38:H38" si="8">+SUM(F36:F37)</f>
        <v>1814000</v>
      </c>
      <c r="G38" s="20">
        <f t="shared" si="8"/>
        <v>1814000</v>
      </c>
      <c r="H38" s="20">
        <f t="shared" si="8"/>
        <v>1814000</v>
      </c>
    </row>
    <row r="39" spans="2:11" x14ac:dyDescent="0.25">
      <c r="D39" s="20"/>
      <c r="E39" s="20"/>
      <c r="F39" s="20"/>
      <c r="G39" s="20"/>
      <c r="H39" s="20"/>
    </row>
    <row r="40" spans="2:11" x14ac:dyDescent="0.25">
      <c r="B40" s="25" t="s">
        <v>12</v>
      </c>
      <c r="D40" s="20"/>
      <c r="I40" s="31"/>
    </row>
    <row r="41" spans="2:11" x14ac:dyDescent="0.25">
      <c r="C41" t="s">
        <v>4</v>
      </c>
      <c r="D41" s="17"/>
      <c r="E41" s="17">
        <v>0</v>
      </c>
      <c r="F41" s="17">
        <v>0</v>
      </c>
      <c r="G41" s="21">
        <f>ROUND(+G22*1000000/G36,2)</f>
        <v>14.17</v>
      </c>
      <c r="H41" s="21">
        <f>ROUND(+H22*1000000/H36,2)</f>
        <v>23.39</v>
      </c>
      <c r="J41" s="1"/>
      <c r="K41" s="31"/>
    </row>
    <row r="42" spans="2:11" x14ac:dyDescent="0.25">
      <c r="C42" t="s">
        <v>13</v>
      </c>
      <c r="D42" s="17"/>
      <c r="E42" s="21">
        <f>ROUND(+E22*1000000/E37,2)</f>
        <v>2.4300000000000002</v>
      </c>
      <c r="F42" s="21">
        <f>ROUND(+F22*1000000/F37,2)</f>
        <v>31.5</v>
      </c>
      <c r="G42" s="17">
        <v>0</v>
      </c>
      <c r="H42" s="17">
        <v>0</v>
      </c>
      <c r="J42" s="1"/>
    </row>
    <row r="44" spans="2:11" x14ac:dyDescent="0.25">
      <c r="B44" s="25" t="s">
        <v>45</v>
      </c>
      <c r="D44" s="1">
        <v>0.59</v>
      </c>
      <c r="E44" s="19"/>
      <c r="F44" s="19"/>
      <c r="G44" s="19"/>
      <c r="H44" s="19"/>
    </row>
    <row r="45" spans="2:11" x14ac:dyDescent="0.25">
      <c r="B45" s="25"/>
      <c r="D45" s="19"/>
      <c r="E45" s="19"/>
      <c r="F45" s="19"/>
      <c r="G45" s="19"/>
      <c r="H45" s="19"/>
      <c r="I45" s="26" t="s">
        <v>48</v>
      </c>
    </row>
    <row r="46" spans="2:11" x14ac:dyDescent="0.25">
      <c r="B46" s="25" t="s">
        <v>46</v>
      </c>
      <c r="D46" s="21"/>
      <c r="E46" s="21">
        <v>0</v>
      </c>
      <c r="F46" s="21">
        <v>0</v>
      </c>
      <c r="G46" s="21">
        <v>0</v>
      </c>
      <c r="H46" s="21">
        <f>H31*D44</f>
        <v>294.12679999999995</v>
      </c>
      <c r="I46" s="21">
        <f>H46*0.5</f>
        <v>147.06339999999997</v>
      </c>
      <c r="J46" s="1"/>
    </row>
    <row r="47" spans="2:11" x14ac:dyDescent="0.25">
      <c r="B47" s="25" t="s">
        <v>47</v>
      </c>
      <c r="D47" s="21"/>
      <c r="E47" s="21">
        <v>0</v>
      </c>
      <c r="F47" s="21">
        <f>F32*D44</f>
        <v>328.60640000000001</v>
      </c>
      <c r="G47" s="21">
        <v>0</v>
      </c>
      <c r="H47" s="21">
        <v>0</v>
      </c>
      <c r="I47" s="21">
        <f>F47*0.5</f>
        <v>164.3032</v>
      </c>
      <c r="J47" s="1"/>
    </row>
    <row r="49" spans="2:8" x14ac:dyDescent="0.25">
      <c r="B49" s="25" t="s">
        <v>12</v>
      </c>
      <c r="D49" s="20"/>
    </row>
    <row r="50" spans="2:8" x14ac:dyDescent="0.25">
      <c r="C50" t="s">
        <v>4</v>
      </c>
      <c r="D50" s="17"/>
      <c r="E50" s="17">
        <v>0</v>
      </c>
      <c r="F50" s="17">
        <v>0</v>
      </c>
      <c r="G50" s="21">
        <f>G41*D44</f>
        <v>8.3602999999999987</v>
      </c>
      <c r="H50" s="21">
        <f>H41*D44</f>
        <v>13.8001</v>
      </c>
    </row>
    <row r="51" spans="2:8" x14ac:dyDescent="0.25">
      <c r="C51" t="s">
        <v>13</v>
      </c>
      <c r="D51" s="17"/>
      <c r="E51" s="21">
        <f>E42*D44</f>
        <v>1.4337</v>
      </c>
      <c r="F51" s="21">
        <f>F42*D44</f>
        <v>18.584999999999997</v>
      </c>
      <c r="G51" s="17">
        <v>0</v>
      </c>
      <c r="H51" s="17">
        <v>0</v>
      </c>
    </row>
    <row r="53" spans="2:8" x14ac:dyDescent="0.25">
      <c r="B53" s="25"/>
      <c r="D53" s="28"/>
    </row>
    <row r="54" spans="2:8" x14ac:dyDescent="0.25">
      <c r="D54" s="28"/>
    </row>
    <row r="55" spans="2:8" x14ac:dyDescent="0.25">
      <c r="D55" s="1"/>
      <c r="E55" s="1"/>
      <c r="F55" s="1"/>
      <c r="G55" s="1"/>
      <c r="H55" s="1"/>
    </row>
    <row r="56" spans="2:8" x14ac:dyDescent="0.25">
      <c r="D56" s="1"/>
      <c r="E56" s="1"/>
      <c r="F56" s="1"/>
      <c r="G56" s="1"/>
      <c r="H56" s="1"/>
    </row>
    <row r="57" spans="2:8" x14ac:dyDescent="0.25">
      <c r="D57" s="1"/>
      <c r="E57" s="1"/>
      <c r="F57" s="1"/>
      <c r="G57" s="1"/>
      <c r="H57" s="1"/>
    </row>
    <row r="58" spans="2:8" x14ac:dyDescent="0.25">
      <c r="D58" s="22"/>
      <c r="E58" s="22"/>
      <c r="F58" s="22"/>
      <c r="G58" s="22"/>
      <c r="H58" s="22"/>
    </row>
    <row r="59" spans="2:8" x14ac:dyDescent="0.25">
      <c r="C59" s="25"/>
      <c r="D59" s="29"/>
    </row>
    <row r="60" spans="2:8" x14ac:dyDescent="0.25">
      <c r="B60" s="25"/>
      <c r="D60" s="1"/>
      <c r="E60" s="1"/>
      <c r="F60" s="1"/>
      <c r="G60" s="1"/>
      <c r="H60" s="1"/>
    </row>
    <row r="61" spans="2:8" x14ac:dyDescent="0.25">
      <c r="D61" s="1"/>
      <c r="E61" s="1"/>
      <c r="F61" s="1"/>
      <c r="G61" s="1"/>
      <c r="H61" s="1"/>
    </row>
    <row r="63" spans="2:8" x14ac:dyDescent="0.25">
      <c r="C63" s="25"/>
    </row>
    <row r="64" spans="2:8" x14ac:dyDescent="0.25">
      <c r="D64" s="1"/>
      <c r="E64" s="1"/>
      <c r="F64" s="1"/>
      <c r="G64" s="1"/>
      <c r="H64" s="1"/>
    </row>
    <row r="65" spans="4:8" x14ac:dyDescent="0.25">
      <c r="D65" s="1"/>
      <c r="E65" s="1"/>
      <c r="F65" s="1"/>
      <c r="G65" s="1"/>
      <c r="H65" s="1"/>
    </row>
  </sheetData>
  <printOptions horizontalCentered="1"/>
  <pageMargins left="0.31496062992125984" right="0.31496062992125984" top="0.27559055118110237" bottom="0.27559055118110237" header="0.11811023622047245" footer="0.11811023622047245"/>
  <pageSetup paperSize="9" scale="66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55"/>
  <sheetViews>
    <sheetView topLeftCell="A4" workbookViewId="0">
      <selection activeCell="N14" sqref="N14"/>
    </sheetView>
  </sheetViews>
  <sheetFormatPr defaultRowHeight="15" x14ac:dyDescent="0.25"/>
  <cols>
    <col min="3" max="3" width="12.7109375" customWidth="1"/>
    <col min="5" max="5" width="12.42578125" customWidth="1"/>
    <col min="6" max="6" width="13.42578125" customWidth="1"/>
    <col min="7" max="7" width="12.85546875" customWidth="1"/>
    <col min="8" max="8" width="13" customWidth="1"/>
    <col min="9" max="9" width="13.42578125" customWidth="1"/>
    <col min="10" max="10" width="12.28515625" customWidth="1"/>
    <col min="11" max="11" width="13.85546875" customWidth="1"/>
    <col min="12" max="12" width="12.85546875" customWidth="1"/>
  </cols>
  <sheetData>
    <row r="3" spans="3:13" ht="14.45" x14ac:dyDescent="0.3">
      <c r="C3" t="s">
        <v>0</v>
      </c>
    </row>
    <row r="5" spans="3:13" ht="14.45" x14ac:dyDescent="0.3">
      <c r="C5" t="s">
        <v>1</v>
      </c>
      <c r="E5" s="1">
        <v>0.16</v>
      </c>
    </row>
    <row r="6" spans="3:13" ht="14.45" x14ac:dyDescent="0.3">
      <c r="C6" t="s">
        <v>2</v>
      </c>
      <c r="E6" s="1">
        <v>0.84</v>
      </c>
    </row>
    <row r="8" spans="3:13" ht="14.45" x14ac:dyDescent="0.3">
      <c r="C8" s="41" t="s">
        <v>3</v>
      </c>
      <c r="D8" s="41"/>
      <c r="E8" s="41"/>
      <c r="F8" s="41"/>
      <c r="G8" s="41"/>
      <c r="H8" s="42"/>
      <c r="I8" s="42"/>
      <c r="J8" s="42"/>
    </row>
    <row r="9" spans="3:13" thickBot="1" x14ac:dyDescent="0.35">
      <c r="C9" s="2"/>
      <c r="D9" s="2"/>
      <c r="E9" s="2"/>
      <c r="F9" s="2"/>
      <c r="G9" s="2"/>
      <c r="H9" s="2"/>
      <c r="I9" s="2"/>
      <c r="J9" s="2"/>
    </row>
    <row r="10" spans="3:13" thickBot="1" x14ac:dyDescent="0.35">
      <c r="C10" s="2"/>
      <c r="D10" s="2"/>
      <c r="E10" s="3">
        <v>2007</v>
      </c>
      <c r="F10" s="4">
        <v>2008</v>
      </c>
      <c r="G10" s="4">
        <v>2009</v>
      </c>
      <c r="H10" s="4">
        <v>2010</v>
      </c>
      <c r="I10" s="4">
        <v>2011</v>
      </c>
      <c r="J10" s="4">
        <v>2012</v>
      </c>
      <c r="K10" s="4" t="s">
        <v>14</v>
      </c>
    </row>
    <row r="11" spans="3:13" ht="33" customHeight="1" thickBot="1" x14ac:dyDescent="0.3">
      <c r="C11" s="43" t="s">
        <v>4</v>
      </c>
      <c r="D11" s="5" t="s">
        <v>5</v>
      </c>
      <c r="E11" s="6">
        <v>1578908070</v>
      </c>
      <c r="F11" s="7">
        <v>1635860871</v>
      </c>
      <c r="G11" s="7">
        <v>1623246999</v>
      </c>
      <c r="H11" s="7">
        <v>1515770779</v>
      </c>
      <c r="I11" s="7">
        <v>1384383482</v>
      </c>
      <c r="J11" s="7">
        <v>1226152155</v>
      </c>
      <c r="K11" s="7">
        <f>+SUM(E11:J11)</f>
        <v>8964322356</v>
      </c>
    </row>
    <row r="12" spans="3:13" ht="33" customHeight="1" thickBot="1" x14ac:dyDescent="0.3">
      <c r="C12" s="44"/>
      <c r="D12" s="8" t="s">
        <v>6</v>
      </c>
      <c r="E12" s="9">
        <v>0.82499999999999996</v>
      </c>
      <c r="F12" s="10">
        <v>0.82599999999999996</v>
      </c>
      <c r="G12" s="10">
        <v>0.82799999999999996</v>
      </c>
      <c r="H12" s="10">
        <v>0.81599999999999995</v>
      </c>
      <c r="I12" s="10">
        <v>0.80500000000000005</v>
      </c>
      <c r="J12" s="10">
        <v>0.79900000000000004</v>
      </c>
      <c r="K12" s="10">
        <f>K11/K20/1000</f>
        <v>0.8172488794607744</v>
      </c>
      <c r="M12" s="22"/>
    </row>
    <row r="13" spans="3:13" ht="33" customHeight="1" thickBot="1" x14ac:dyDescent="0.3">
      <c r="C13" s="44"/>
      <c r="D13" s="8" t="s">
        <v>7</v>
      </c>
      <c r="E13" s="11">
        <v>18491506</v>
      </c>
      <c r="F13" s="12">
        <v>19045937</v>
      </c>
      <c r="G13" s="12">
        <v>18843226</v>
      </c>
      <c r="H13" s="13">
        <v>21030498</v>
      </c>
      <c r="I13" s="13">
        <v>20972820</v>
      </c>
      <c r="J13" s="13">
        <v>19181935</v>
      </c>
      <c r="K13" s="13">
        <f>SUM(E13:J13)</f>
        <v>117565922</v>
      </c>
    </row>
    <row r="14" spans="3:13" ht="33" customHeight="1" thickBot="1" x14ac:dyDescent="0.3">
      <c r="C14" s="45"/>
      <c r="D14" s="8" t="s">
        <v>6</v>
      </c>
      <c r="E14" s="9">
        <v>0.84799999999999998</v>
      </c>
      <c r="F14" s="10">
        <v>0.84299999999999997</v>
      </c>
      <c r="G14" s="10">
        <v>0.84499999999999997</v>
      </c>
      <c r="H14" s="14">
        <v>0.83799999999999997</v>
      </c>
      <c r="I14" s="14">
        <v>0.83299999999999996</v>
      </c>
      <c r="J14" s="14">
        <v>0.83</v>
      </c>
      <c r="K14" s="14">
        <f>K13/K21</f>
        <v>0.83946784475288405</v>
      </c>
      <c r="M14" s="22"/>
    </row>
    <row r="15" spans="3:13" ht="33" customHeight="1" thickBot="1" x14ac:dyDescent="0.3">
      <c r="C15" s="46" t="s">
        <v>8</v>
      </c>
      <c r="D15" s="8" t="s">
        <v>5</v>
      </c>
      <c r="E15" s="6">
        <v>334953915</v>
      </c>
      <c r="F15" s="7">
        <v>345546969</v>
      </c>
      <c r="G15" s="7">
        <v>337100747</v>
      </c>
      <c r="H15" s="7">
        <v>341882070</v>
      </c>
      <c r="I15" s="7">
        <v>335799577</v>
      </c>
      <c r="J15" s="7">
        <v>309295739</v>
      </c>
      <c r="K15" s="7">
        <f>SUM(E15:J15)</f>
        <v>2004579017</v>
      </c>
      <c r="M15" s="22"/>
    </row>
    <row r="16" spans="3:13" ht="33" customHeight="1" thickBot="1" x14ac:dyDescent="0.3">
      <c r="C16" s="44"/>
      <c r="D16" s="8" t="s">
        <v>6</v>
      </c>
      <c r="E16" s="9">
        <v>0.17499999999999999</v>
      </c>
      <c r="F16" s="10">
        <v>0.17399999999999999</v>
      </c>
      <c r="G16" s="10">
        <v>0.17199999999999999</v>
      </c>
      <c r="H16" s="10">
        <v>0.184</v>
      </c>
      <c r="I16" s="10">
        <v>0.19500000000000001</v>
      </c>
      <c r="J16" s="10">
        <v>0.20100000000000001</v>
      </c>
      <c r="K16" s="10">
        <f>+K15/K20/1000</f>
        <v>0.18275112053922557</v>
      </c>
    </row>
    <row r="17" spans="3:13" ht="33" customHeight="1" thickBot="1" x14ac:dyDescent="0.3">
      <c r="C17" s="44"/>
      <c r="D17" s="8" t="s">
        <v>7</v>
      </c>
      <c r="E17" s="11">
        <v>3304623</v>
      </c>
      <c r="F17" s="12">
        <v>3542810</v>
      </c>
      <c r="G17" s="12">
        <v>3462283</v>
      </c>
      <c r="H17" s="13">
        <v>4054158</v>
      </c>
      <c r="I17" s="13">
        <v>4201141</v>
      </c>
      <c r="J17" s="13">
        <v>3917217</v>
      </c>
      <c r="K17" s="13">
        <f>SUM(E17:J17)</f>
        <v>22482232</v>
      </c>
      <c r="M17" s="24"/>
    </row>
    <row r="18" spans="3:13" ht="33" customHeight="1" thickBot="1" x14ac:dyDescent="0.3">
      <c r="C18" s="45"/>
      <c r="D18" s="15" t="s">
        <v>6</v>
      </c>
      <c r="E18" s="10">
        <v>0.152</v>
      </c>
      <c r="F18" s="10">
        <v>0.157</v>
      </c>
      <c r="G18" s="10">
        <v>0.155</v>
      </c>
      <c r="H18" s="14">
        <v>0.16200000000000001</v>
      </c>
      <c r="I18" s="14">
        <v>0.16700000000000001</v>
      </c>
      <c r="J18" s="14">
        <v>0.17</v>
      </c>
      <c r="K18" s="14">
        <f>+K17/K21</f>
        <v>0.16053215524711592</v>
      </c>
    </row>
    <row r="19" spans="3:13" x14ac:dyDescent="0.25">
      <c r="C19" s="16"/>
    </row>
    <row r="20" spans="3:13" x14ac:dyDescent="0.25">
      <c r="C20" s="16" t="s">
        <v>16</v>
      </c>
      <c r="E20" s="20">
        <f>(+E11+E15)/1000</f>
        <v>1913861.9850000001</v>
      </c>
      <c r="F20" s="20">
        <f t="shared" ref="F20:K20" si="0">(+F11+F15)/1000</f>
        <v>1981407.84</v>
      </c>
      <c r="G20" s="20">
        <f t="shared" si="0"/>
        <v>1960347.746</v>
      </c>
      <c r="H20" s="20">
        <f t="shared" si="0"/>
        <v>1857652.8489999999</v>
      </c>
      <c r="I20" s="20">
        <f t="shared" si="0"/>
        <v>1720183.0589999999</v>
      </c>
      <c r="J20" s="20">
        <f t="shared" si="0"/>
        <v>1535447.8940000001</v>
      </c>
      <c r="K20" s="20">
        <f t="shared" si="0"/>
        <v>10968901.373</v>
      </c>
    </row>
    <row r="21" spans="3:13" ht="21.75" customHeight="1" x14ac:dyDescent="0.25">
      <c r="C21" s="16" t="s">
        <v>15</v>
      </c>
      <c r="E21" s="23">
        <f>+E13+E17</f>
        <v>21796129</v>
      </c>
      <c r="F21" s="23">
        <f t="shared" ref="F21:K21" si="1">+F13+F17</f>
        <v>22588747</v>
      </c>
      <c r="G21" s="23">
        <f t="shared" si="1"/>
        <v>22305509</v>
      </c>
      <c r="H21" s="23">
        <f t="shared" si="1"/>
        <v>25084656</v>
      </c>
      <c r="I21" s="23">
        <f t="shared" si="1"/>
        <v>25173961</v>
      </c>
      <c r="J21" s="23">
        <f t="shared" si="1"/>
        <v>23099152</v>
      </c>
      <c r="K21" s="23">
        <f t="shared" si="1"/>
        <v>140048154</v>
      </c>
    </row>
    <row r="22" spans="3:13" x14ac:dyDescent="0.25">
      <c r="C22" s="16"/>
    </row>
    <row r="23" spans="3:13" x14ac:dyDescent="0.25">
      <c r="C23" s="16"/>
    </row>
    <row r="25" spans="3:13" x14ac:dyDescent="0.25">
      <c r="E25" s="17"/>
      <c r="F25" s="17"/>
      <c r="G25" s="17"/>
      <c r="H25" s="17"/>
      <c r="I25" s="17"/>
      <c r="J25" s="17"/>
    </row>
    <row r="26" spans="3:13" x14ac:dyDescent="0.25">
      <c r="E26" s="17"/>
      <c r="F26" s="17"/>
      <c r="G26" s="17"/>
      <c r="H26" s="17"/>
      <c r="I26" s="17"/>
      <c r="J26" s="17"/>
    </row>
    <row r="28" spans="3:13" x14ac:dyDescent="0.25">
      <c r="E28" s="1"/>
      <c r="F28" s="1"/>
      <c r="G28" s="1"/>
      <c r="H28" s="1"/>
      <c r="I28" s="1"/>
      <c r="J28" s="1"/>
    </row>
    <row r="30" spans="3:13" x14ac:dyDescent="0.25">
      <c r="F30" s="18"/>
      <c r="H30" s="18"/>
      <c r="I30" s="18"/>
      <c r="J30" s="18"/>
      <c r="K30" s="18"/>
    </row>
    <row r="31" spans="3:13" x14ac:dyDescent="0.25">
      <c r="E31" s="17"/>
      <c r="F31" s="17"/>
      <c r="G31" s="17"/>
      <c r="H31" s="18"/>
      <c r="I31" s="18"/>
      <c r="J31" s="18"/>
      <c r="K31" s="18"/>
    </row>
    <row r="32" spans="3:13" x14ac:dyDescent="0.25">
      <c r="E32" s="17"/>
      <c r="F32" s="17"/>
      <c r="G32" s="17"/>
      <c r="H32" s="18"/>
      <c r="I32" s="18"/>
      <c r="J32" s="18"/>
      <c r="K32" s="18"/>
    </row>
    <row r="33" spans="5:12" x14ac:dyDescent="0.25">
      <c r="F33" s="18"/>
      <c r="H33" s="18"/>
      <c r="I33" s="18"/>
      <c r="J33" s="18"/>
      <c r="K33" s="18"/>
    </row>
    <row r="34" spans="5:12" x14ac:dyDescent="0.25">
      <c r="F34" s="18"/>
      <c r="H34" s="18"/>
      <c r="I34" s="18"/>
      <c r="J34" s="18"/>
      <c r="K34" s="18"/>
    </row>
    <row r="35" spans="5:12" x14ac:dyDescent="0.25">
      <c r="F35" s="18"/>
      <c r="H35" s="18"/>
      <c r="I35" s="18"/>
      <c r="J35" s="18"/>
      <c r="K35" s="18"/>
    </row>
    <row r="36" spans="5:12" x14ac:dyDescent="0.25">
      <c r="F36" s="18"/>
      <c r="G36" s="18"/>
      <c r="H36" s="18"/>
      <c r="I36" s="18"/>
      <c r="J36" s="18"/>
      <c r="K36" s="18"/>
    </row>
    <row r="38" spans="5:12" x14ac:dyDescent="0.25">
      <c r="F38" s="19"/>
      <c r="H38" s="19"/>
      <c r="I38" s="19"/>
      <c r="J38" s="19"/>
      <c r="K38" s="19"/>
    </row>
    <row r="39" spans="5:12" x14ac:dyDescent="0.25">
      <c r="F39" s="20"/>
      <c r="J39" s="20"/>
      <c r="K39" s="20"/>
    </row>
    <row r="41" spans="5:12" x14ac:dyDescent="0.25">
      <c r="F41" s="21"/>
      <c r="H41" s="21"/>
      <c r="I41" s="21"/>
      <c r="J41" s="21"/>
      <c r="K41" s="21"/>
    </row>
    <row r="44" spans="5:12" x14ac:dyDescent="0.25">
      <c r="F44" s="20"/>
      <c r="H44" s="20"/>
      <c r="I44" s="20"/>
      <c r="J44" s="20"/>
      <c r="K44" s="20"/>
    </row>
    <row r="45" spans="5:12" x14ac:dyDescent="0.25">
      <c r="F45" s="20"/>
      <c r="H45" s="20"/>
      <c r="I45" s="20"/>
      <c r="J45" s="20"/>
      <c r="K45" s="20"/>
    </row>
    <row r="46" spans="5:12" x14ac:dyDescent="0.25">
      <c r="F46" s="20"/>
      <c r="H46" s="20"/>
      <c r="I46" s="20"/>
      <c r="J46" s="20"/>
      <c r="K46" s="20"/>
    </row>
    <row r="47" spans="5:12" x14ac:dyDescent="0.25">
      <c r="F47" s="20"/>
    </row>
    <row r="48" spans="5:12" x14ac:dyDescent="0.25">
      <c r="E48" s="17"/>
      <c r="F48" s="18"/>
      <c r="H48" s="21"/>
      <c r="I48" s="21"/>
      <c r="L48" s="17"/>
    </row>
    <row r="49" spans="5:12" x14ac:dyDescent="0.25">
      <c r="E49" s="17"/>
      <c r="F49" s="18"/>
      <c r="J49" s="21"/>
      <c r="K49" s="21"/>
      <c r="L49" s="17"/>
    </row>
    <row r="51" spans="5:12" x14ac:dyDescent="0.25">
      <c r="F51" s="19"/>
      <c r="H51" s="18"/>
      <c r="I51" s="18"/>
      <c r="J51" s="18"/>
      <c r="K51" s="18"/>
      <c r="L51" s="21"/>
    </row>
    <row r="53" spans="5:12" x14ac:dyDescent="0.25">
      <c r="F53" s="21"/>
      <c r="H53" s="21"/>
      <c r="I53" s="21"/>
      <c r="J53" s="21"/>
      <c r="K53" s="21"/>
      <c r="L53" s="21"/>
    </row>
    <row r="55" spans="5:12" x14ac:dyDescent="0.25">
      <c r="F55" s="22"/>
      <c r="H55" s="22"/>
      <c r="I55" s="22"/>
      <c r="J55" s="22"/>
      <c r="K55" s="22"/>
      <c r="L55" s="22"/>
    </row>
  </sheetData>
  <mergeCells count="3">
    <mergeCell ref="C8:J8"/>
    <mergeCell ref="C11:C14"/>
    <mergeCell ref="C15:C18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ignoredErrors>
    <ignoredError sqref="K14:K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calcs</vt:lpstr>
      <vt:lpstr>historical</vt:lpstr>
    </vt:vector>
  </TitlesOfParts>
  <Company>Castalia Strategic Advisors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Hoogland</dc:creator>
  <cp:lastModifiedBy>Neil Cochrane</cp:lastModifiedBy>
  <cp:lastPrinted>2013-04-05T01:54:42Z</cp:lastPrinted>
  <dcterms:created xsi:type="dcterms:W3CDTF">2012-06-18T01:37:37Z</dcterms:created>
  <dcterms:modified xsi:type="dcterms:W3CDTF">2013-04-05T01:54:56Z</dcterms:modified>
</cp:coreProperties>
</file>