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0" yWindow="-135" windowWidth="2100" windowHeight="9570"/>
  </bookViews>
  <sheets>
    <sheet name="CoverSheet" sheetId="9" r:id="rId1"/>
    <sheet name="Description" sheetId="10" r:id="rId2"/>
    <sheet name="Table of Contents" sheetId="11" r:id="rId3"/>
    <sheet name="Inflators" sheetId="17" r:id="rId4"/>
    <sheet name="Inputs" sheetId="2" r:id="rId5"/>
    <sheet name="EDB Select" sheetId="14" r:id="rId6"/>
    <sheet name="Calculations" sheetId="12" r:id="rId7"/>
    <sheet name="Output" sheetId="13" r:id="rId8"/>
    <sheet name="Tables" sheetId="16" state="hidden" r:id="rId9"/>
    <sheet name="Chart data" sheetId="20" r:id="rId10"/>
    <sheet name="Charts" sheetId="21" r:id="rId11"/>
  </sheets>
  <externalReferences>
    <externalReference r:id="rId12"/>
  </externalReferences>
  <definedNames>
    <definedName name="EDB_Name">'[1]EDB Selector ROI'!$C$4</definedName>
    <definedName name="_xlnm.Print_Area" localSheetId="6">Calculations!$A$1:$N$121</definedName>
    <definedName name="_xlnm.Print_Area" localSheetId="9">'Chart data'!$A$1:$AN$59</definedName>
    <definedName name="_xlnm.Print_Area" localSheetId="10">Charts!$A$1:$E$75</definedName>
    <definedName name="_xlnm.Print_Area" localSheetId="0">CoverSheet!$A$1:$D$18</definedName>
    <definedName name="_xlnm.Print_Area" localSheetId="1">Description!$A$1:$F$9</definedName>
    <definedName name="_xlnm.Print_Area" localSheetId="5">'EDB Select'!$A$1:$M$31</definedName>
    <definedName name="_xlnm.Print_Area" localSheetId="3">Inflators!$A$1:$K$80</definedName>
    <definedName name="_xlnm.Print_Area" localSheetId="4">Inputs!$A$1:$AI$86</definedName>
    <definedName name="_xlnm.Print_Area" localSheetId="7">Output!$A$1:$AI$30</definedName>
    <definedName name="_xlnm.Print_Area" localSheetId="2">'Table of Contents'!$A$1:$D$14</definedName>
    <definedName name="_xlnm.Print_Area" localSheetId="8">Tables!$A$1:$F$59</definedName>
    <definedName name="WACC" localSheetId="3">#REF!</definedName>
    <definedName name="WACC">Calculations!$E$4</definedName>
  </definedNames>
  <calcPr calcId="145621" calcMode="autoNoTable"/>
</workbook>
</file>

<file path=xl/calcChain.xml><?xml version="1.0" encoding="utf-8"?>
<calcChain xmlns="http://schemas.openxmlformats.org/spreadsheetml/2006/main">
  <c r="C5" i="13" l="1"/>
  <c r="AH45" i="2" l="1"/>
  <c r="AG45" i="2"/>
  <c r="AF45" i="2"/>
  <c r="AH44" i="2"/>
  <c r="AG44" i="2"/>
  <c r="AF44" i="2"/>
  <c r="AH43" i="2"/>
  <c r="AG43" i="2"/>
  <c r="AF43" i="2"/>
  <c r="A45" i="2"/>
  <c r="A44" i="2"/>
  <c r="A43" i="2"/>
  <c r="AJ53" i="20" l="1"/>
  <c r="AJ52" i="20"/>
  <c r="AJ51" i="20"/>
  <c r="AJ50" i="20"/>
  <c r="AJ49" i="20"/>
  <c r="AJ48" i="20"/>
  <c r="AJ47" i="20"/>
  <c r="AJ46" i="20"/>
  <c r="AJ45" i="20"/>
  <c r="AJ44" i="20"/>
  <c r="AJ43" i="20"/>
  <c r="AJ42" i="20"/>
  <c r="AJ41" i="20"/>
  <c r="AJ40" i="20"/>
  <c r="AJ39" i="20"/>
  <c r="AJ38" i="20"/>
  <c r="I56" i="12"/>
  <c r="A58" i="12"/>
  <c r="A57" i="12"/>
  <c r="AG80" i="2"/>
  <c r="A80" i="2"/>
  <c r="AH39" i="20" l="1"/>
  <c r="AH40" i="20"/>
  <c r="AH38" i="20"/>
  <c r="AH42" i="20"/>
  <c r="AH46" i="20"/>
  <c r="AH50" i="20"/>
  <c r="AH43" i="20"/>
  <c r="AH47" i="20"/>
  <c r="AH51" i="20"/>
  <c r="AH44" i="20"/>
  <c r="AH48" i="20"/>
  <c r="AH52" i="20"/>
  <c r="AH41" i="20"/>
  <c r="AH45" i="20"/>
  <c r="AH49" i="20"/>
  <c r="AH53" i="20"/>
  <c r="A21" i="2"/>
  <c r="AF21" i="2"/>
  <c r="AG21" i="2"/>
  <c r="AH21" i="2"/>
  <c r="A22" i="2"/>
  <c r="AF22" i="2"/>
  <c r="AG22" i="2"/>
  <c r="AH22" i="2"/>
  <c r="A25" i="2"/>
  <c r="AF25" i="2"/>
  <c r="AG25" i="2"/>
  <c r="AH25" i="2"/>
  <c r="A26" i="2"/>
  <c r="AF26" i="2"/>
  <c r="AG26" i="2"/>
  <c r="AH26" i="2"/>
  <c r="AL47" i="20" l="1"/>
  <c r="AM47" i="20" s="1"/>
  <c r="AL43" i="20"/>
  <c r="AM43" i="20" s="1"/>
  <c r="AL38" i="20"/>
  <c r="AM38" i="20" s="1"/>
  <c r="AL50" i="20"/>
  <c r="AM50" i="20" s="1"/>
  <c r="AL40" i="20"/>
  <c r="AM40" i="20" s="1"/>
  <c r="AL41" i="20"/>
  <c r="AM41" i="20" s="1"/>
  <c r="AL45" i="20"/>
  <c r="AM45" i="20" s="1"/>
  <c r="AL51" i="20"/>
  <c r="AM51" i="20" s="1"/>
  <c r="AL46" i="20"/>
  <c r="AM46" i="20" s="1"/>
  <c r="AL52" i="20"/>
  <c r="AM52" i="20" s="1"/>
  <c r="AL44" i="20"/>
  <c r="AM44" i="20" s="1"/>
  <c r="AL53" i="20"/>
  <c r="AM53" i="20" s="1"/>
  <c r="AL49" i="20"/>
  <c r="AM49" i="20" s="1"/>
  <c r="AL39" i="20"/>
  <c r="AM39" i="20" s="1"/>
  <c r="AL42" i="20"/>
  <c r="AM42" i="20" s="1"/>
  <c r="AL48" i="20"/>
  <c r="AM48" i="20" s="1"/>
  <c r="C27" i="16"/>
  <c r="D27" i="16"/>
  <c r="E27" i="16"/>
  <c r="C28" i="16"/>
  <c r="D28" i="16"/>
  <c r="E28" i="16"/>
  <c r="C29" i="16"/>
  <c r="D29" i="16"/>
  <c r="E29" i="16"/>
  <c r="C30" i="16"/>
  <c r="D30" i="16"/>
  <c r="E30" i="16"/>
  <c r="C31" i="16"/>
  <c r="D31" i="16"/>
  <c r="E31" i="16"/>
  <c r="C32" i="16"/>
  <c r="D32" i="16"/>
  <c r="E32" i="16"/>
  <c r="C33" i="16"/>
  <c r="D33" i="16"/>
  <c r="E33" i="16"/>
  <c r="C34" i="16"/>
  <c r="D34" i="16"/>
  <c r="E34" i="16"/>
  <c r="C35" i="16"/>
  <c r="D35" i="16"/>
  <c r="E35" i="16"/>
  <c r="C36" i="16"/>
  <c r="D36" i="16"/>
  <c r="E36" i="16"/>
  <c r="C37" i="16"/>
  <c r="D37" i="16"/>
  <c r="E37" i="16"/>
  <c r="C38" i="16"/>
  <c r="D38" i="16"/>
  <c r="E38" i="16"/>
  <c r="C39" i="16"/>
  <c r="D39" i="16"/>
  <c r="E39" i="16"/>
  <c r="C40" i="16"/>
  <c r="D40" i="16"/>
  <c r="E40" i="16"/>
  <c r="C41" i="16"/>
  <c r="D41" i="16"/>
  <c r="E41" i="16"/>
  <c r="C42" i="16"/>
  <c r="D42" i="16"/>
  <c r="E42" i="16"/>
  <c r="C43" i="16"/>
  <c r="D43" i="16"/>
  <c r="E43" i="16"/>
  <c r="C44" i="16"/>
  <c r="D44" i="16"/>
  <c r="E44" i="16"/>
  <c r="C45" i="16"/>
  <c r="D45" i="16"/>
  <c r="E45" i="16"/>
  <c r="C46" i="16"/>
  <c r="D46" i="16"/>
  <c r="E46" i="16"/>
  <c r="C47" i="16"/>
  <c r="D47" i="16"/>
  <c r="E47" i="16"/>
  <c r="C48" i="16"/>
  <c r="D48" i="16"/>
  <c r="E48" i="16"/>
  <c r="C49" i="16"/>
  <c r="D49" i="16"/>
  <c r="E49" i="16"/>
  <c r="C50" i="16"/>
  <c r="D50" i="16"/>
  <c r="E50" i="16"/>
  <c r="C51" i="16"/>
  <c r="D51" i="16"/>
  <c r="E51" i="16"/>
  <c r="C52" i="16"/>
  <c r="D52" i="16"/>
  <c r="E52" i="16"/>
  <c r="C53" i="16"/>
  <c r="D53" i="16"/>
  <c r="E53" i="16"/>
  <c r="C54" i="16"/>
  <c r="D54" i="16"/>
  <c r="E54" i="16"/>
  <c r="C55" i="16"/>
  <c r="D55" i="16"/>
  <c r="E55" i="16"/>
  <c r="C56" i="16"/>
  <c r="D56" i="16"/>
  <c r="E56" i="16"/>
  <c r="C57" i="16"/>
  <c r="D57" i="16"/>
  <c r="E57" i="16"/>
  <c r="C58" i="16"/>
  <c r="D58" i="16"/>
  <c r="E58" i="16"/>
  <c r="M58" i="20" l="1"/>
  <c r="M57" i="20"/>
  <c r="D58" i="20"/>
  <c r="D57" i="20"/>
  <c r="M53" i="20"/>
  <c r="M52" i="20"/>
  <c r="M51" i="20"/>
  <c r="M50" i="20"/>
  <c r="M49" i="20"/>
  <c r="M48" i="20"/>
  <c r="M47" i="20"/>
  <c r="M46" i="20"/>
  <c r="M45" i="20"/>
  <c r="M44" i="20"/>
  <c r="M43" i="20"/>
  <c r="M42" i="20"/>
  <c r="M41" i="20"/>
  <c r="M40" i="20"/>
  <c r="M39" i="20"/>
  <c r="M38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M33" i="20"/>
  <c r="M32" i="20"/>
  <c r="M31" i="20"/>
  <c r="M30" i="20"/>
  <c r="M29" i="20"/>
  <c r="M28" i="20"/>
  <c r="M27" i="20"/>
  <c r="M26" i="20"/>
  <c r="M25" i="20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10" i="20"/>
  <c r="M9" i="20"/>
  <c r="M8" i="20"/>
  <c r="M7" i="20"/>
  <c r="M6" i="20"/>
  <c r="M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5" i="20"/>
  <c r="AC53" i="20"/>
  <c r="AC52" i="20"/>
  <c r="AC51" i="20"/>
  <c r="AC50" i="20"/>
  <c r="AC49" i="20"/>
  <c r="AC48" i="20"/>
  <c r="AC47" i="20"/>
  <c r="AC46" i="20"/>
  <c r="AC45" i="20"/>
  <c r="AC44" i="20"/>
  <c r="AC43" i="20"/>
  <c r="AC42" i="20"/>
  <c r="AC41" i="20"/>
  <c r="AC40" i="20"/>
  <c r="AC39" i="20"/>
  <c r="AC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38" i="20"/>
  <c r="B32" i="20" l="1"/>
  <c r="K6" i="20"/>
  <c r="B28" i="20"/>
  <c r="B24" i="20"/>
  <c r="B20" i="20"/>
  <c r="B16" i="20"/>
  <c r="B12" i="20"/>
  <c r="B8" i="20"/>
  <c r="K10" i="20"/>
  <c r="K14" i="20"/>
  <c r="K18" i="20"/>
  <c r="K22" i="20"/>
  <c r="K26" i="20"/>
  <c r="K30" i="20"/>
  <c r="B31" i="20"/>
  <c r="B27" i="20"/>
  <c r="B23" i="20"/>
  <c r="B19" i="20"/>
  <c r="B15" i="20"/>
  <c r="B11" i="20"/>
  <c r="B7" i="20"/>
  <c r="K7" i="20"/>
  <c r="K11" i="20"/>
  <c r="K15" i="20"/>
  <c r="K19" i="20"/>
  <c r="K23" i="20"/>
  <c r="K27" i="20"/>
  <c r="K31" i="20"/>
  <c r="B5" i="20"/>
  <c r="B30" i="20"/>
  <c r="B26" i="20"/>
  <c r="B22" i="20"/>
  <c r="B18" i="20"/>
  <c r="B14" i="20"/>
  <c r="B10" i="20"/>
  <c r="B6" i="20"/>
  <c r="K8" i="20"/>
  <c r="K12" i="20"/>
  <c r="K16" i="20"/>
  <c r="K20" i="20"/>
  <c r="K24" i="20"/>
  <c r="K28" i="20"/>
  <c r="K32" i="20"/>
  <c r="B33" i="20"/>
  <c r="B29" i="20"/>
  <c r="B25" i="20"/>
  <c r="B21" i="20"/>
  <c r="B17" i="20"/>
  <c r="B13" i="20"/>
  <c r="B9" i="20"/>
  <c r="K5" i="20"/>
  <c r="K9" i="20"/>
  <c r="K13" i="20"/>
  <c r="K17" i="20"/>
  <c r="K21" i="20"/>
  <c r="K25" i="20"/>
  <c r="K29" i="20"/>
  <c r="K33" i="20"/>
  <c r="T38" i="20"/>
  <c r="AA38" i="20"/>
  <c r="B50" i="20"/>
  <c r="B46" i="20"/>
  <c r="K41" i="20"/>
  <c r="K45" i="20"/>
  <c r="T50" i="20"/>
  <c r="T42" i="20"/>
  <c r="AA46" i="20"/>
  <c r="T49" i="20"/>
  <c r="T41" i="20"/>
  <c r="AA43" i="20"/>
  <c r="AA51" i="20"/>
  <c r="B42" i="20"/>
  <c r="K53" i="20"/>
  <c r="T52" i="20"/>
  <c r="T44" i="20"/>
  <c r="AA44" i="20"/>
  <c r="AA52" i="20"/>
  <c r="B53" i="20"/>
  <c r="B49" i="20"/>
  <c r="B45" i="20"/>
  <c r="B41" i="20"/>
  <c r="K38" i="20"/>
  <c r="K42" i="20"/>
  <c r="K46" i="20"/>
  <c r="K50" i="20"/>
  <c r="T46" i="20"/>
  <c r="AA42" i="20"/>
  <c r="T53" i="20"/>
  <c r="T45" i="20"/>
  <c r="AA39" i="20"/>
  <c r="AA47" i="20"/>
  <c r="B38" i="20"/>
  <c r="K49" i="20"/>
  <c r="T48" i="20"/>
  <c r="T40" i="20"/>
  <c r="AA40" i="20"/>
  <c r="AA48" i="20"/>
  <c r="T51" i="20"/>
  <c r="T47" i="20"/>
  <c r="T43" i="20"/>
  <c r="T39" i="20"/>
  <c r="AA41" i="20"/>
  <c r="AA45" i="20"/>
  <c r="AA49" i="20"/>
  <c r="AA53" i="20"/>
  <c r="B52" i="20"/>
  <c r="B48" i="20"/>
  <c r="B44" i="20"/>
  <c r="B40" i="20"/>
  <c r="K39" i="20"/>
  <c r="K43" i="20"/>
  <c r="K47" i="20"/>
  <c r="K51" i="20"/>
  <c r="AA50" i="20"/>
  <c r="B51" i="20"/>
  <c r="B47" i="20"/>
  <c r="B43" i="20"/>
  <c r="B39" i="20"/>
  <c r="K40" i="20"/>
  <c r="K44" i="20"/>
  <c r="K48" i="20"/>
  <c r="K52" i="20"/>
  <c r="O24" i="20" l="1"/>
  <c r="F39" i="20"/>
  <c r="F43" i="20"/>
  <c r="G43" i="20" s="1"/>
  <c r="F47" i="20"/>
  <c r="G47" i="20" s="1"/>
  <c r="F51" i="20"/>
  <c r="G51" i="20" s="1"/>
  <c r="F40" i="20"/>
  <c r="F44" i="20"/>
  <c r="G44" i="20" s="1"/>
  <c r="F48" i="20"/>
  <c r="G48" i="20" s="1"/>
  <c r="F52" i="20"/>
  <c r="G52" i="20" s="1"/>
  <c r="F41" i="20"/>
  <c r="F45" i="20"/>
  <c r="G45" i="20" s="1"/>
  <c r="F49" i="20"/>
  <c r="G49" i="20" s="1"/>
  <c r="F53" i="20"/>
  <c r="G53" i="20" s="1"/>
  <c r="F42" i="20"/>
  <c r="F46" i="20"/>
  <c r="G46" i="20" s="1"/>
  <c r="F50" i="20"/>
  <c r="G50" i="20" s="1"/>
  <c r="F38" i="20"/>
  <c r="G38" i="20" s="1"/>
  <c r="AE50" i="20"/>
  <c r="AE46" i="20"/>
  <c r="AF46" i="20" s="1"/>
  <c r="AE42" i="20"/>
  <c r="AF42" i="20" s="1"/>
  <c r="AE53" i="20"/>
  <c r="AF53" i="20" s="1"/>
  <c r="AE49" i="20"/>
  <c r="AE45" i="20"/>
  <c r="AF45" i="20" s="1"/>
  <c r="AE41" i="20"/>
  <c r="AF41" i="20" s="1"/>
  <c r="AE39" i="20"/>
  <c r="AF39" i="20" s="1"/>
  <c r="AE52" i="20"/>
  <c r="AE48" i="20"/>
  <c r="AF48" i="20" s="1"/>
  <c r="AE44" i="20"/>
  <c r="AF44" i="20" s="1"/>
  <c r="AE40" i="20"/>
  <c r="AF40" i="20" s="1"/>
  <c r="AE51" i="20"/>
  <c r="AF51" i="20" s="1"/>
  <c r="AE47" i="20"/>
  <c r="AF47" i="20" s="1"/>
  <c r="AE43" i="20"/>
  <c r="AF43" i="20" s="1"/>
  <c r="AE38" i="20"/>
  <c r="AF38" i="20" s="1"/>
  <c r="X42" i="20"/>
  <c r="X46" i="20"/>
  <c r="Y46" i="20" s="1"/>
  <c r="X50" i="20"/>
  <c r="X39" i="20"/>
  <c r="Y39" i="20" s="1"/>
  <c r="X43" i="20"/>
  <c r="X47" i="20"/>
  <c r="Y47" i="20" s="1"/>
  <c r="X51" i="20"/>
  <c r="X40" i="20"/>
  <c r="Y40" i="20" s="1"/>
  <c r="X44" i="20"/>
  <c r="X48" i="20"/>
  <c r="X52" i="20"/>
  <c r="X41" i="20"/>
  <c r="Y41" i="20" s="1"/>
  <c r="X45" i="20"/>
  <c r="X49" i="20"/>
  <c r="Y49" i="20" s="1"/>
  <c r="X53" i="20"/>
  <c r="X38" i="20"/>
  <c r="Y38" i="20" s="1"/>
  <c r="O42" i="20"/>
  <c r="P42" i="20" s="1"/>
  <c r="O46" i="20"/>
  <c r="P46" i="20" s="1"/>
  <c r="O50" i="20"/>
  <c r="P50" i="20" s="1"/>
  <c r="O39" i="20"/>
  <c r="O43" i="20"/>
  <c r="P43" i="20" s="1"/>
  <c r="O47" i="20"/>
  <c r="P47" i="20" s="1"/>
  <c r="O51" i="20"/>
  <c r="P51" i="20" s="1"/>
  <c r="O40" i="20"/>
  <c r="P40" i="20" s="1"/>
  <c r="O44" i="20"/>
  <c r="P44" i="20" s="1"/>
  <c r="O48" i="20"/>
  <c r="P48" i="20" s="1"/>
  <c r="O52" i="20"/>
  <c r="P52" i="20" s="1"/>
  <c r="O41" i="20"/>
  <c r="P41" i="20" s="1"/>
  <c r="O45" i="20"/>
  <c r="P45" i="20" s="1"/>
  <c r="O49" i="20"/>
  <c r="P49" i="20" s="1"/>
  <c r="O53" i="20"/>
  <c r="P53" i="20" s="1"/>
  <c r="P39" i="20"/>
  <c r="O38" i="20"/>
  <c r="P38" i="20" s="1"/>
  <c r="G39" i="20"/>
  <c r="G42" i="20"/>
  <c r="G41" i="20"/>
  <c r="G40" i="20"/>
  <c r="O8" i="20"/>
  <c r="F9" i="20"/>
  <c r="F13" i="20"/>
  <c r="F17" i="20"/>
  <c r="F21" i="20"/>
  <c r="F25" i="20"/>
  <c r="F29" i="20"/>
  <c r="F33" i="20"/>
  <c r="F6" i="20"/>
  <c r="F10" i="20"/>
  <c r="F14" i="20"/>
  <c r="F18" i="20"/>
  <c r="F22" i="20"/>
  <c r="F26" i="20"/>
  <c r="F30" i="20"/>
  <c r="F7" i="20"/>
  <c r="F11" i="20"/>
  <c r="F15" i="20"/>
  <c r="F19" i="20"/>
  <c r="F23" i="20"/>
  <c r="F27" i="20"/>
  <c r="F31" i="20"/>
  <c r="F8" i="20"/>
  <c r="F12" i="20"/>
  <c r="F16" i="20"/>
  <c r="F20" i="20"/>
  <c r="F24" i="20"/>
  <c r="F28" i="20"/>
  <c r="F32" i="20"/>
  <c r="O19" i="20"/>
  <c r="O5" i="20"/>
  <c r="O25" i="20"/>
  <c r="O23" i="20"/>
  <c r="O31" i="20"/>
  <c r="O15" i="20"/>
  <c r="O11" i="20"/>
  <c r="O33" i="20"/>
  <c r="O7" i="20"/>
  <c r="O13" i="20"/>
  <c r="O21" i="20"/>
  <c r="O27" i="20"/>
  <c r="O9" i="20"/>
  <c r="O17" i="20"/>
  <c r="O29" i="20"/>
  <c r="O12" i="20"/>
  <c r="O16" i="20"/>
  <c r="O20" i="20"/>
  <c r="O28" i="20"/>
  <c r="O32" i="20"/>
  <c r="O6" i="20"/>
  <c r="O10" i="20"/>
  <c r="O14" i="20"/>
  <c r="O18" i="20"/>
  <c r="O22" i="20"/>
  <c r="O26" i="20"/>
  <c r="O30" i="20"/>
  <c r="F5" i="20"/>
  <c r="AF49" i="20"/>
  <c r="AF52" i="20"/>
  <c r="AF50" i="20"/>
  <c r="Y43" i="20"/>
  <c r="Y44" i="20"/>
  <c r="Y45" i="20"/>
  <c r="P20" i="20" l="1"/>
  <c r="R20" i="20"/>
  <c r="Q20" i="20"/>
  <c r="Q15" i="20"/>
  <c r="R15" i="20"/>
  <c r="P15" i="20"/>
  <c r="Q22" i="20"/>
  <c r="R22" i="20"/>
  <c r="P22" i="20"/>
  <c r="P6" i="20"/>
  <c r="Q6" i="20"/>
  <c r="R6" i="20"/>
  <c r="R16" i="20"/>
  <c r="P16" i="20"/>
  <c r="Q16" i="20"/>
  <c r="P9" i="20"/>
  <c r="Q9" i="20"/>
  <c r="R9" i="20"/>
  <c r="Q7" i="20"/>
  <c r="R7" i="20"/>
  <c r="P7" i="20"/>
  <c r="Q31" i="20"/>
  <c r="R31" i="20"/>
  <c r="P31" i="20"/>
  <c r="Q19" i="20"/>
  <c r="R19" i="20"/>
  <c r="P19" i="20"/>
  <c r="P17" i="20"/>
  <c r="Q17" i="20"/>
  <c r="R17" i="20"/>
  <c r="Q18" i="20"/>
  <c r="R18" i="20"/>
  <c r="P18" i="20"/>
  <c r="R12" i="20"/>
  <c r="P12" i="20"/>
  <c r="Q12" i="20"/>
  <c r="P33" i="20"/>
  <c r="Q33" i="20"/>
  <c r="R33" i="20"/>
  <c r="Q26" i="20"/>
  <c r="R26" i="20"/>
  <c r="P26" i="20"/>
  <c r="P32" i="20"/>
  <c r="Q32" i="20"/>
  <c r="R32" i="20"/>
  <c r="Q27" i="20"/>
  <c r="R27" i="20"/>
  <c r="P27" i="20"/>
  <c r="Q23" i="20"/>
  <c r="R23" i="20"/>
  <c r="P23" i="20"/>
  <c r="R8" i="20"/>
  <c r="P8" i="20"/>
  <c r="Q8" i="20"/>
  <c r="Q30" i="20"/>
  <c r="R30" i="20"/>
  <c r="P30" i="20"/>
  <c r="P14" i="20"/>
  <c r="Q14" i="20"/>
  <c r="R14" i="20"/>
  <c r="P28" i="20"/>
  <c r="Q28" i="20"/>
  <c r="R28" i="20"/>
  <c r="P29" i="20"/>
  <c r="Q29" i="20"/>
  <c r="R29" i="20"/>
  <c r="P21" i="20"/>
  <c r="Q21" i="20"/>
  <c r="R21" i="20"/>
  <c r="Q11" i="20"/>
  <c r="R11" i="20"/>
  <c r="P11" i="20"/>
  <c r="P25" i="20"/>
  <c r="Q25" i="20"/>
  <c r="R25" i="20"/>
  <c r="P10" i="20"/>
  <c r="Q10" i="20"/>
  <c r="R10" i="20"/>
  <c r="P13" i="20"/>
  <c r="Q13" i="20"/>
  <c r="R13" i="20"/>
  <c r="Q5" i="20"/>
  <c r="P5" i="20"/>
  <c r="R5" i="20"/>
  <c r="P24" i="20"/>
  <c r="Q24" i="20"/>
  <c r="R24" i="20"/>
  <c r="G5" i="20"/>
  <c r="I5" i="20"/>
  <c r="H5" i="20"/>
  <c r="G20" i="20"/>
  <c r="H20" i="20"/>
  <c r="I20" i="20"/>
  <c r="H31" i="20"/>
  <c r="I31" i="20"/>
  <c r="G31" i="20"/>
  <c r="I15" i="20"/>
  <c r="G15" i="20"/>
  <c r="H15" i="20"/>
  <c r="H26" i="20"/>
  <c r="I26" i="20"/>
  <c r="G26" i="20"/>
  <c r="H10" i="20"/>
  <c r="I10" i="20"/>
  <c r="G10" i="20"/>
  <c r="G25" i="20"/>
  <c r="H25" i="20"/>
  <c r="I25" i="20"/>
  <c r="G9" i="20"/>
  <c r="H9" i="20"/>
  <c r="I9" i="20"/>
  <c r="G32" i="20"/>
  <c r="H32" i="20"/>
  <c r="I32" i="20"/>
  <c r="G16" i="20"/>
  <c r="H16" i="20"/>
  <c r="I16" i="20"/>
  <c r="H27" i="20"/>
  <c r="I27" i="20"/>
  <c r="G27" i="20"/>
  <c r="I11" i="20"/>
  <c r="G11" i="20"/>
  <c r="H11" i="20"/>
  <c r="H22" i="20"/>
  <c r="I22" i="20"/>
  <c r="G22" i="20"/>
  <c r="G6" i="20"/>
  <c r="H6" i="20"/>
  <c r="I6" i="20"/>
  <c r="G21" i="20"/>
  <c r="H21" i="20"/>
  <c r="I21" i="20"/>
  <c r="G28" i="20"/>
  <c r="H28" i="20"/>
  <c r="I28" i="20"/>
  <c r="G12" i="20"/>
  <c r="H12" i="20"/>
  <c r="I12" i="20"/>
  <c r="H23" i="20"/>
  <c r="I23" i="20"/>
  <c r="G23" i="20"/>
  <c r="I7" i="20"/>
  <c r="G7" i="20"/>
  <c r="H7" i="20"/>
  <c r="H18" i="20"/>
  <c r="I18" i="20"/>
  <c r="G18" i="20"/>
  <c r="G33" i="20"/>
  <c r="H33" i="20"/>
  <c r="I33" i="20"/>
  <c r="G17" i="20"/>
  <c r="H17" i="20"/>
  <c r="I17" i="20"/>
  <c r="G24" i="20"/>
  <c r="H24" i="20"/>
  <c r="I24" i="20"/>
  <c r="G8" i="20"/>
  <c r="H8" i="20"/>
  <c r="I8" i="20"/>
  <c r="H19" i="20"/>
  <c r="I19" i="20"/>
  <c r="G19" i="20"/>
  <c r="I30" i="20"/>
  <c r="H30" i="20"/>
  <c r="G30" i="20"/>
  <c r="H14" i="20"/>
  <c r="I14" i="20"/>
  <c r="G14" i="20"/>
  <c r="G29" i="20"/>
  <c r="I29" i="20"/>
  <c r="H29" i="20"/>
  <c r="G13" i="20"/>
  <c r="H13" i="20"/>
  <c r="I13" i="20"/>
  <c r="Y48" i="20"/>
  <c r="Y50" i="20"/>
  <c r="Y42" i="20"/>
  <c r="Y53" i="20"/>
  <c r="Y52" i="20"/>
  <c r="Y51" i="20"/>
  <c r="C21" i="13" l="1"/>
  <c r="AH85" i="2"/>
  <c r="AH84" i="2"/>
  <c r="AH83" i="2"/>
  <c r="AH82" i="2"/>
  <c r="AH81" i="2"/>
  <c r="AH77" i="2"/>
  <c r="AH76" i="2"/>
  <c r="AH75" i="2"/>
  <c r="AH74" i="2"/>
  <c r="AH73" i="2"/>
  <c r="AH69" i="2"/>
  <c r="AH68" i="2"/>
  <c r="AH67" i="2"/>
  <c r="AH66" i="2"/>
  <c r="AH65" i="2"/>
  <c r="AH64" i="2"/>
  <c r="AH60" i="2"/>
  <c r="AH59" i="2"/>
  <c r="AH58" i="2"/>
  <c r="AH57" i="2"/>
  <c r="AH56" i="2"/>
  <c r="AH55" i="2"/>
  <c r="AH54" i="2"/>
  <c r="AH53" i="2"/>
  <c r="AH50" i="2"/>
  <c r="AH49" i="2"/>
  <c r="AH48" i="2"/>
  <c r="AH40" i="2"/>
  <c r="AH39" i="2"/>
  <c r="AH38" i="2"/>
  <c r="AH37" i="2"/>
  <c r="AH36" i="2"/>
  <c r="AH33" i="2"/>
  <c r="AH32" i="2"/>
  <c r="AH31" i="2"/>
  <c r="AG85" i="2"/>
  <c r="AG84" i="2"/>
  <c r="AG83" i="2"/>
  <c r="AG82" i="2"/>
  <c r="AG81" i="2"/>
  <c r="AG77" i="2"/>
  <c r="AG76" i="2"/>
  <c r="AG75" i="2"/>
  <c r="AG74" i="2"/>
  <c r="AG73" i="2"/>
  <c r="AG69" i="2"/>
  <c r="AG68" i="2"/>
  <c r="AG67" i="2"/>
  <c r="AG66" i="2"/>
  <c r="AG65" i="2"/>
  <c r="AG64" i="2"/>
  <c r="AG60" i="2"/>
  <c r="AG59" i="2"/>
  <c r="AG58" i="2"/>
  <c r="AG57" i="2"/>
  <c r="AG56" i="2"/>
  <c r="AG55" i="2"/>
  <c r="AG54" i="2"/>
  <c r="AG53" i="2"/>
  <c r="AG50" i="2"/>
  <c r="AG49" i="2"/>
  <c r="AG48" i="2"/>
  <c r="AG40" i="2"/>
  <c r="AG39" i="2"/>
  <c r="AG38" i="2"/>
  <c r="AG37" i="2"/>
  <c r="AG36" i="2"/>
  <c r="AG33" i="2"/>
  <c r="AG32" i="2"/>
  <c r="AG31" i="2"/>
  <c r="E19" i="16" l="1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AF69" i="2" l="1"/>
  <c r="AF68" i="2"/>
  <c r="AF67" i="2"/>
  <c r="AF66" i="2"/>
  <c r="AF65" i="2"/>
  <c r="AF64" i="2"/>
  <c r="AF48" i="2" l="1"/>
  <c r="AF49" i="2"/>
  <c r="AF50" i="2"/>
  <c r="F13" i="12" l="1"/>
  <c r="G13" i="12"/>
  <c r="A60" i="2"/>
  <c r="A59" i="2"/>
  <c r="A58" i="2"/>
  <c r="A57" i="2"/>
  <c r="A56" i="2"/>
  <c r="A55" i="2"/>
  <c r="A53" i="2"/>
  <c r="A54" i="2"/>
  <c r="A50" i="2"/>
  <c r="A49" i="2"/>
  <c r="A48" i="2"/>
  <c r="AF60" i="2"/>
  <c r="AF59" i="2"/>
  <c r="AF58" i="2"/>
  <c r="AF57" i="2"/>
  <c r="AF56" i="2"/>
  <c r="AF55" i="2"/>
  <c r="AF54" i="2"/>
  <c r="AF53" i="2"/>
  <c r="AF40" i="2"/>
  <c r="AF39" i="2"/>
  <c r="AF38" i="2"/>
  <c r="AF37" i="2"/>
  <c r="AF36" i="2"/>
  <c r="AF33" i="2"/>
  <c r="AF32" i="2"/>
  <c r="AF31" i="2"/>
  <c r="A36" i="2"/>
  <c r="A37" i="2"/>
  <c r="A38" i="2"/>
  <c r="A39" i="2"/>
  <c r="A40" i="2"/>
  <c r="D6" i="2" l="1"/>
  <c r="E6" i="2" s="1"/>
  <c r="H51" i="17"/>
  <c r="G51" i="17"/>
  <c r="F51" i="17"/>
  <c r="H50" i="17"/>
  <c r="G50" i="17"/>
  <c r="F50" i="17"/>
  <c r="H49" i="17"/>
  <c r="H65" i="17" s="1"/>
  <c r="G49" i="17"/>
  <c r="F49" i="17"/>
  <c r="H48" i="17"/>
  <c r="H64" i="17" s="1"/>
  <c r="G48" i="17"/>
  <c r="F48" i="17"/>
  <c r="H47" i="17"/>
  <c r="H63" i="17" s="1"/>
  <c r="G47" i="17"/>
  <c r="G63" i="17" s="1"/>
  <c r="F47" i="17"/>
  <c r="F63" i="17" s="1"/>
  <c r="H46" i="17"/>
  <c r="H62" i="17" s="1"/>
  <c r="E74" i="17" s="1"/>
  <c r="E9" i="2" s="1"/>
  <c r="G14" i="14" s="1"/>
  <c r="H7" i="12" s="1"/>
  <c r="G46" i="17"/>
  <c r="F46" i="17"/>
  <c r="H45" i="17"/>
  <c r="G45" i="17"/>
  <c r="F45" i="17"/>
  <c r="H44" i="17"/>
  <c r="G44" i="17"/>
  <c r="F44" i="17"/>
  <c r="E51" i="17"/>
  <c r="D51" i="17"/>
  <c r="C51" i="17"/>
  <c r="E50" i="17"/>
  <c r="E66" i="17" s="1"/>
  <c r="D50" i="17"/>
  <c r="C50" i="17"/>
  <c r="E49" i="17"/>
  <c r="D49" i="17"/>
  <c r="C49" i="17"/>
  <c r="E48" i="17"/>
  <c r="E64" i="17" s="1"/>
  <c r="D48" i="17"/>
  <c r="C48" i="17"/>
  <c r="E47" i="17"/>
  <c r="E63" i="17" s="1"/>
  <c r="D47" i="17"/>
  <c r="D63" i="17" s="1"/>
  <c r="F79" i="17" s="1"/>
  <c r="F14" i="2" s="1"/>
  <c r="H19" i="14" s="1"/>
  <c r="I12" i="12" s="1"/>
  <c r="I34" i="12" s="1"/>
  <c r="C47" i="17"/>
  <c r="C63" i="17" s="1"/>
  <c r="E46" i="17"/>
  <c r="E62" i="17" s="1"/>
  <c r="E78" i="17" s="1"/>
  <c r="E11" i="2" s="1"/>
  <c r="G16" i="14" s="1"/>
  <c r="H9" i="12" s="1"/>
  <c r="D46" i="17"/>
  <c r="C46" i="17"/>
  <c r="E45" i="17"/>
  <c r="D45" i="17"/>
  <c r="C45" i="17"/>
  <c r="E44" i="17"/>
  <c r="E60" i="17" s="1"/>
  <c r="C78" i="17" s="1"/>
  <c r="C11" i="2" s="1"/>
  <c r="E16" i="14" s="1"/>
  <c r="F9" i="12" s="1"/>
  <c r="D44" i="17"/>
  <c r="C44" i="17"/>
  <c r="F71" i="17"/>
  <c r="C62" i="17" l="1"/>
  <c r="E77" i="17" s="1"/>
  <c r="E12" i="2" s="1"/>
  <c r="G17" i="14" s="1"/>
  <c r="H10" i="12" s="1"/>
  <c r="F62" i="17"/>
  <c r="E73" i="17" s="1"/>
  <c r="E10" i="2" s="1"/>
  <c r="G15" i="14" s="1"/>
  <c r="H8" i="12" s="1"/>
  <c r="F66" i="17"/>
  <c r="C66" i="17"/>
  <c r="C61" i="17"/>
  <c r="D77" i="17" s="1"/>
  <c r="D12" i="2" s="1"/>
  <c r="F17" i="14" s="1"/>
  <c r="G10" i="12" s="1"/>
  <c r="C65" i="17"/>
  <c r="F61" i="17"/>
  <c r="D73" i="17" s="1"/>
  <c r="D10" i="2" s="1"/>
  <c r="F15" i="14" s="1"/>
  <c r="G8" i="12" s="1"/>
  <c r="F65" i="17"/>
  <c r="C60" i="17"/>
  <c r="C77" i="17" s="1"/>
  <c r="C12" i="2" s="1"/>
  <c r="E17" i="14" s="1"/>
  <c r="F10" i="12" s="1"/>
  <c r="C64" i="17"/>
  <c r="F64" i="17"/>
  <c r="H66" i="17"/>
  <c r="G71" i="17"/>
  <c r="G78" i="17" s="1"/>
  <c r="G11" i="2" s="1"/>
  <c r="I16" i="14" s="1"/>
  <c r="J9" i="12" s="1"/>
  <c r="F75" i="17"/>
  <c r="F13" i="2" s="1"/>
  <c r="H18" i="14" s="1"/>
  <c r="I11" i="12" s="1"/>
  <c r="I31" i="12" s="1"/>
  <c r="F74" i="17"/>
  <c r="F9" i="2" s="1"/>
  <c r="H14" i="14" s="1"/>
  <c r="I7" i="12" s="1"/>
  <c r="F73" i="17"/>
  <c r="F10" i="2" s="1"/>
  <c r="H15" i="14" s="1"/>
  <c r="I8" i="12" s="1"/>
  <c r="F78" i="17"/>
  <c r="F11" i="2" s="1"/>
  <c r="H16" i="14" s="1"/>
  <c r="I9" i="12" s="1"/>
  <c r="E67" i="17"/>
  <c r="E54" i="17"/>
  <c r="E55" i="17" s="1"/>
  <c r="H54" i="17"/>
  <c r="G67" i="17"/>
  <c r="G54" i="17"/>
  <c r="D67" i="17"/>
  <c r="D54" i="17"/>
  <c r="D55" i="17" s="1"/>
  <c r="E61" i="17"/>
  <c r="D78" i="17" s="1"/>
  <c r="D11" i="2" s="1"/>
  <c r="F16" i="14" s="1"/>
  <c r="G9" i="12" s="1"/>
  <c r="F77" i="17"/>
  <c r="F12" i="2" s="1"/>
  <c r="H17" i="14" s="1"/>
  <c r="I10" i="12" s="1"/>
  <c r="E65" i="17"/>
  <c r="C67" i="17"/>
  <c r="C54" i="17"/>
  <c r="F67" i="17"/>
  <c r="F54" i="17"/>
  <c r="D62" i="17"/>
  <c r="E79" i="17" s="1"/>
  <c r="E14" i="2" s="1"/>
  <c r="G19" i="14" s="1"/>
  <c r="H12" i="12" s="1"/>
  <c r="H34" i="12" s="1"/>
  <c r="H35" i="12" s="1"/>
  <c r="G62" i="17"/>
  <c r="E75" i="17" s="1"/>
  <c r="E13" i="2" s="1"/>
  <c r="G18" i="14" s="1"/>
  <c r="H11" i="12" s="1"/>
  <c r="H31" i="12" s="1"/>
  <c r="H32" i="12" s="1"/>
  <c r="G66" i="17"/>
  <c r="D61" i="17"/>
  <c r="D79" i="17" s="1"/>
  <c r="D14" i="2" s="1"/>
  <c r="F19" i="14" s="1"/>
  <c r="G12" i="12" s="1"/>
  <c r="G34" i="12" s="1"/>
  <c r="D65" i="17"/>
  <c r="G61" i="17"/>
  <c r="D75" i="17" s="1"/>
  <c r="D13" i="2" s="1"/>
  <c r="F18" i="14" s="1"/>
  <c r="G11" i="12" s="1"/>
  <c r="G31" i="12" s="1"/>
  <c r="G65" i="17"/>
  <c r="D60" i="17"/>
  <c r="C79" i="17" s="1"/>
  <c r="C14" i="2" s="1"/>
  <c r="E19" i="14" s="1"/>
  <c r="F12" i="12" s="1"/>
  <c r="F34" i="12" s="1"/>
  <c r="G60" i="17"/>
  <c r="C75" i="17" s="1"/>
  <c r="C13" i="2" s="1"/>
  <c r="E18" i="14" s="1"/>
  <c r="F11" i="12" s="1"/>
  <c r="F31" i="12" s="1"/>
  <c r="G64" i="17"/>
  <c r="H60" i="17"/>
  <c r="C74" i="17" s="1"/>
  <c r="C9" i="2" s="1"/>
  <c r="E14" i="14" s="1"/>
  <c r="F7" i="12" s="1"/>
  <c r="F60" i="17"/>
  <c r="C73" i="17" s="1"/>
  <c r="C10" i="2" s="1"/>
  <c r="E15" i="14" s="1"/>
  <c r="F8" i="12" s="1"/>
  <c r="H61" i="17"/>
  <c r="D74" i="17" s="1"/>
  <c r="D9" i="2" s="1"/>
  <c r="F14" i="14" s="1"/>
  <c r="G7" i="12" s="1"/>
  <c r="H67" i="17"/>
  <c r="D64" i="17"/>
  <c r="G79" i="17" s="1"/>
  <c r="G14" i="2" s="1"/>
  <c r="I19" i="14" s="1"/>
  <c r="J12" i="12" s="1"/>
  <c r="J34" i="12" s="1"/>
  <c r="D66" i="17"/>
  <c r="G77" i="17" l="1"/>
  <c r="G12" i="2" s="1"/>
  <c r="I17" i="14" s="1"/>
  <c r="J10" i="12" s="1"/>
  <c r="C55" i="17"/>
  <c r="I32" i="12"/>
  <c r="H71" i="17"/>
  <c r="H79" i="17" s="1"/>
  <c r="H14" i="2" s="1"/>
  <c r="J19" i="14" s="1"/>
  <c r="K12" i="12" s="1"/>
  <c r="K34" i="12" s="1"/>
  <c r="K35" i="12" s="1"/>
  <c r="G75" i="17"/>
  <c r="G13" i="2" s="1"/>
  <c r="I18" i="14" s="1"/>
  <c r="J11" i="12" s="1"/>
  <c r="J31" i="12" s="1"/>
  <c r="J32" i="12" s="1"/>
  <c r="G74" i="17"/>
  <c r="G9" i="2" s="1"/>
  <c r="I14" i="14" s="1"/>
  <c r="J7" i="12" s="1"/>
  <c r="G73" i="17"/>
  <c r="G10" i="2" s="1"/>
  <c r="I15" i="14" s="1"/>
  <c r="J8" i="12" s="1"/>
  <c r="J35" i="12"/>
  <c r="I35" i="12"/>
  <c r="A77" i="12"/>
  <c r="A66" i="12"/>
  <c r="I71" i="17" l="1"/>
  <c r="H75" i="17"/>
  <c r="H13" i="2" s="1"/>
  <c r="J18" i="14" s="1"/>
  <c r="K11" i="12" s="1"/>
  <c r="K31" i="12" s="1"/>
  <c r="K32" i="12" s="1"/>
  <c r="H74" i="17"/>
  <c r="H9" i="2" s="1"/>
  <c r="J14" i="14" s="1"/>
  <c r="K7" i="12" s="1"/>
  <c r="H73" i="17"/>
  <c r="H10" i="2" s="1"/>
  <c r="J15" i="14" s="1"/>
  <c r="K8" i="12" s="1"/>
  <c r="H77" i="17"/>
  <c r="H12" i="2" s="1"/>
  <c r="J17" i="14" s="1"/>
  <c r="K10" i="12" s="1"/>
  <c r="H78" i="17"/>
  <c r="H11" i="2" s="1"/>
  <c r="J16" i="14" s="1"/>
  <c r="K9" i="12" s="1"/>
  <c r="A40" i="12"/>
  <c r="A49" i="12"/>
  <c r="A48" i="12"/>
  <c r="K47" i="12"/>
  <c r="L47" i="12" s="1"/>
  <c r="M47" i="12" s="1"/>
  <c r="D11" i="14"/>
  <c r="E4" i="12" s="1"/>
  <c r="C8" i="13"/>
  <c r="C4" i="13"/>
  <c r="K38" i="12"/>
  <c r="L38" i="12" s="1"/>
  <c r="M38" i="12" s="1"/>
  <c r="A33" i="2"/>
  <c r="A32" i="2"/>
  <c r="A31" i="2"/>
  <c r="A30" i="2"/>
  <c r="A29" i="2"/>
  <c r="H59" i="12" l="1"/>
  <c r="J59" i="12"/>
  <c r="I59" i="12"/>
  <c r="J71" i="17"/>
  <c r="I75" i="17"/>
  <c r="I13" i="2" s="1"/>
  <c r="K18" i="14" s="1"/>
  <c r="L11" i="12" s="1"/>
  <c r="L31" i="12" s="1"/>
  <c r="L32" i="12" s="1"/>
  <c r="I74" i="17"/>
  <c r="I9" i="2" s="1"/>
  <c r="K14" i="14" s="1"/>
  <c r="L7" i="12" s="1"/>
  <c r="I73" i="17"/>
  <c r="I10" i="2" s="1"/>
  <c r="K15" i="14" s="1"/>
  <c r="L8" i="12" s="1"/>
  <c r="I78" i="17"/>
  <c r="I11" i="2" s="1"/>
  <c r="K16" i="14" s="1"/>
  <c r="L9" i="12" s="1"/>
  <c r="I77" i="17"/>
  <c r="I12" i="2" s="1"/>
  <c r="K17" i="14" s="1"/>
  <c r="L10" i="12" s="1"/>
  <c r="I79" i="17"/>
  <c r="I14" i="2" s="1"/>
  <c r="K19" i="14" s="1"/>
  <c r="L12" i="12" s="1"/>
  <c r="L34" i="12" s="1"/>
  <c r="L35" i="12" s="1"/>
  <c r="L50" i="12"/>
  <c r="K50" i="12"/>
  <c r="M50" i="12"/>
  <c r="M41" i="12"/>
  <c r="L41" i="12"/>
  <c r="K41" i="12"/>
  <c r="D13" i="14"/>
  <c r="D12" i="14"/>
  <c r="D19" i="2"/>
  <c r="E6" i="12"/>
  <c r="E5" i="12"/>
  <c r="J74" i="17" l="1"/>
  <c r="J9" i="2" s="1"/>
  <c r="L14" i="14" s="1"/>
  <c r="M7" i="12" s="1"/>
  <c r="J73" i="17"/>
  <c r="J10" i="2" s="1"/>
  <c r="L15" i="14" s="1"/>
  <c r="M8" i="12" s="1"/>
  <c r="J75" i="17"/>
  <c r="J13" i="2" s="1"/>
  <c r="L18" i="14" s="1"/>
  <c r="M11" i="12" s="1"/>
  <c r="M31" i="12" s="1"/>
  <c r="M32" i="12" s="1"/>
  <c r="J79" i="17"/>
  <c r="J14" i="2" s="1"/>
  <c r="L19" i="14" s="1"/>
  <c r="M12" i="12" s="1"/>
  <c r="M34" i="12" s="1"/>
  <c r="M35" i="12" s="1"/>
  <c r="M82" i="12" s="1"/>
  <c r="J78" i="17"/>
  <c r="J11" i="2" s="1"/>
  <c r="L16" i="14" s="1"/>
  <c r="M9" i="12" s="1"/>
  <c r="J77" i="17"/>
  <c r="J12" i="2" s="1"/>
  <c r="L17" i="14" s="1"/>
  <c r="M10" i="12" s="1"/>
  <c r="E19" i="2"/>
  <c r="E21" i="13" s="1"/>
  <c r="D21" i="13"/>
  <c r="D8" i="13"/>
  <c r="F25" i="12"/>
  <c r="G28" i="12"/>
  <c r="G25" i="12"/>
  <c r="F28" i="12"/>
  <c r="H28" i="12"/>
  <c r="H29" i="12" s="1"/>
  <c r="L28" i="12"/>
  <c r="H25" i="12"/>
  <c r="H26" i="12" s="1"/>
  <c r="K28" i="12"/>
  <c r="J28" i="12"/>
  <c r="I28" i="12"/>
  <c r="K25" i="12"/>
  <c r="L25" i="12"/>
  <c r="I25" i="12"/>
  <c r="J25" i="12"/>
  <c r="M28" i="12" l="1"/>
  <c r="M71" i="12" s="1"/>
  <c r="K29" i="12"/>
  <c r="K82" i="12"/>
  <c r="J82" i="12"/>
  <c r="L82" i="12"/>
  <c r="I82" i="12"/>
  <c r="M25" i="12"/>
  <c r="M26" i="12" s="1"/>
  <c r="F19" i="2"/>
  <c r="F21" i="13" s="1"/>
  <c r="E8" i="13"/>
  <c r="I29" i="12"/>
  <c r="L29" i="12"/>
  <c r="J71" i="12"/>
  <c r="J29" i="12"/>
  <c r="K26" i="12"/>
  <c r="I26" i="12"/>
  <c r="K71" i="12"/>
  <c r="I71" i="12"/>
  <c r="L71" i="12"/>
  <c r="J26" i="12"/>
  <c r="L26" i="12"/>
  <c r="G19" i="2" l="1"/>
  <c r="G21" i="13" s="1"/>
  <c r="M29" i="12"/>
  <c r="F6" i="2"/>
  <c r="G6" i="2" s="1"/>
  <c r="H6" i="2" s="1"/>
  <c r="I6" i="2" s="1"/>
  <c r="J6" i="2" s="1"/>
  <c r="H19" i="2" l="1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H21" i="13" l="1"/>
  <c r="I19" i="2"/>
  <c r="F8" i="13"/>
  <c r="AH29" i="2"/>
  <c r="AH30" i="2"/>
  <c r="AG30" i="2"/>
  <c r="AG29" i="2"/>
  <c r="AF29" i="2"/>
  <c r="AF30" i="2"/>
  <c r="A85" i="2"/>
  <c r="A84" i="2"/>
  <c r="A83" i="2"/>
  <c r="A82" i="2"/>
  <c r="A81" i="2"/>
  <c r="A77" i="2"/>
  <c r="A76" i="2"/>
  <c r="A75" i="2"/>
  <c r="A74" i="2"/>
  <c r="A73" i="2"/>
  <c r="A69" i="2"/>
  <c r="A68" i="2"/>
  <c r="A67" i="2"/>
  <c r="A66" i="2"/>
  <c r="A65" i="2"/>
  <c r="A64" i="2"/>
  <c r="I21" i="13" l="1"/>
  <c r="J19" i="2"/>
  <c r="H13" i="12"/>
  <c r="J21" i="13" l="1"/>
  <c r="K19" i="2"/>
  <c r="G8" i="13"/>
  <c r="H8" i="13" l="1"/>
  <c r="L19" i="2"/>
  <c r="K21" i="13"/>
  <c r="M19" i="2" l="1"/>
  <c r="I8" i="13"/>
  <c r="L21" i="13"/>
  <c r="M21" i="13" l="1"/>
  <c r="N19" i="2"/>
  <c r="N21" i="13" l="1"/>
  <c r="O19" i="2"/>
  <c r="J8" i="13" l="1"/>
  <c r="P19" i="2"/>
  <c r="O21" i="13"/>
  <c r="Q19" i="2" l="1"/>
  <c r="K8" i="13"/>
  <c r="P21" i="13"/>
  <c r="R19" i="2" l="1"/>
  <c r="Q21" i="13"/>
  <c r="R21" i="13" l="1"/>
  <c r="S19" i="2"/>
  <c r="T19" i="2" l="1"/>
  <c r="S21" i="13"/>
  <c r="U19" i="2" l="1"/>
  <c r="L8" i="13"/>
  <c r="T21" i="13"/>
  <c r="V19" i="2" l="1"/>
  <c r="M8" i="13"/>
  <c r="U21" i="13"/>
  <c r="V21" i="13" l="1"/>
  <c r="W19" i="2"/>
  <c r="X19" i="2" l="1"/>
  <c r="N8" i="13"/>
  <c r="W21" i="13"/>
  <c r="Y19" i="2" l="1"/>
  <c r="X21" i="13"/>
  <c r="Z19" i="2" l="1"/>
  <c r="O8" i="13"/>
  <c r="Y21" i="13"/>
  <c r="AA19" i="2" l="1"/>
  <c r="P8" i="13"/>
  <c r="Z21" i="13"/>
  <c r="AB19" i="2" l="1"/>
  <c r="Q8" i="13"/>
  <c r="AA21" i="13"/>
  <c r="AB21" i="13" l="1"/>
  <c r="AC19" i="2"/>
  <c r="AC21" i="13" l="1"/>
  <c r="AD19" i="2"/>
  <c r="AD21" i="13" l="1"/>
  <c r="AE19" i="2"/>
  <c r="R8" i="13"/>
  <c r="AE21" i="13" l="1"/>
  <c r="AF19" i="2"/>
  <c r="AG19" i="2" l="1"/>
  <c r="AF21" i="13"/>
  <c r="C4" i="14" l="1"/>
  <c r="S8" i="13"/>
  <c r="AH19" i="2"/>
  <c r="AH21" i="13" s="1"/>
  <c r="AG21" i="13"/>
  <c r="B8" i="13" l="1"/>
  <c r="B21" i="13"/>
  <c r="C5" i="14"/>
  <c r="H24" i="14" l="1"/>
  <c r="I14" i="12" s="1"/>
  <c r="I96" i="12" s="1"/>
  <c r="I98" i="12" s="1"/>
  <c r="I101" i="12" s="1"/>
  <c r="K26" i="14"/>
  <c r="L16" i="12" s="1"/>
  <c r="J27" i="14"/>
  <c r="K17" i="12" s="1"/>
  <c r="I27" i="14"/>
  <c r="J17" i="12" s="1"/>
  <c r="J25" i="14"/>
  <c r="K15" i="12" s="1"/>
  <c r="L27" i="14"/>
  <c r="M17" i="12" s="1"/>
  <c r="L23" i="14"/>
  <c r="M13" i="12" s="1"/>
  <c r="G24" i="14"/>
  <c r="H14" i="12" s="1"/>
  <c r="H96" i="12" s="1"/>
  <c r="H98" i="12" s="1"/>
  <c r="H101" i="12" s="1"/>
  <c r="F27" i="14"/>
  <c r="G17" i="12" s="1"/>
  <c r="G99" i="12" s="1"/>
  <c r="G106" i="12" s="1"/>
  <c r="E27" i="14"/>
  <c r="F17" i="12" s="1"/>
  <c r="F99" i="12" s="1"/>
  <c r="F106" i="12" s="1"/>
  <c r="L25" i="14"/>
  <c r="M15" i="12" s="1"/>
  <c r="H27" i="14"/>
  <c r="I17" i="12" s="1"/>
  <c r="K27" i="14"/>
  <c r="L17" i="12" s="1"/>
  <c r="K23" i="14"/>
  <c r="L13" i="12" s="1"/>
  <c r="J26" i="14"/>
  <c r="K16" i="12" s="1"/>
  <c r="I24" i="14"/>
  <c r="J14" i="12" s="1"/>
  <c r="J96" i="12" s="1"/>
  <c r="J98" i="12" s="1"/>
  <c r="J101" i="12" s="1"/>
  <c r="K25" i="14"/>
  <c r="L15" i="12" s="1"/>
  <c r="L26" i="14"/>
  <c r="M16" i="12" s="1"/>
  <c r="G27" i="14"/>
  <c r="H17" i="12" s="1"/>
  <c r="H99" i="12" s="1"/>
  <c r="H106" i="12" s="1"/>
  <c r="J23" i="14"/>
  <c r="K13" i="12" s="1"/>
  <c r="F24" i="14"/>
  <c r="G14" i="12" s="1"/>
  <c r="G96" i="12" s="1"/>
  <c r="G98" i="12" s="1"/>
  <c r="G101" i="12" s="1"/>
  <c r="G111" i="12" s="1"/>
  <c r="E24" i="14"/>
  <c r="F14" i="12" s="1"/>
  <c r="F96" i="12" s="1"/>
  <c r="F98" i="12" s="1"/>
  <c r="F101" i="12" s="1"/>
  <c r="F111" i="12" s="1"/>
  <c r="H23" i="14"/>
  <c r="I13" i="12" s="1"/>
  <c r="I70" i="12" s="1"/>
  <c r="I72" i="12" s="1"/>
  <c r="I23" i="14"/>
  <c r="J13" i="12" s="1"/>
  <c r="J70" i="12" s="1"/>
  <c r="J72" i="12" s="1"/>
  <c r="K30" i="14"/>
  <c r="L20" i="12" s="1"/>
  <c r="J28" i="14"/>
  <c r="K18" i="12" s="1"/>
  <c r="K48" i="12" s="1"/>
  <c r="J29" i="14"/>
  <c r="K19" i="12" s="1"/>
  <c r="G28" i="14"/>
  <c r="H18" i="12" s="1"/>
  <c r="H57" i="12" s="1"/>
  <c r="L31" i="14"/>
  <c r="H31" i="14"/>
  <c r="I28" i="14"/>
  <c r="J18" i="12" s="1"/>
  <c r="J57" i="12" s="1"/>
  <c r="K28" i="14"/>
  <c r="L18" i="12" s="1"/>
  <c r="L48" i="12" s="1"/>
  <c r="K29" i="14"/>
  <c r="L19" i="12" s="1"/>
  <c r="H30" i="14"/>
  <c r="I20" i="12" s="1"/>
  <c r="K31" i="14"/>
  <c r="G30" i="14"/>
  <c r="H20" i="12" s="1"/>
  <c r="H58" i="12" s="1"/>
  <c r="I30" i="14"/>
  <c r="J20" i="12" s="1"/>
  <c r="H28" i="14"/>
  <c r="I18" i="12" s="1"/>
  <c r="I57" i="12" s="1"/>
  <c r="J31" i="14"/>
  <c r="J30" i="14"/>
  <c r="K20" i="12" s="1"/>
  <c r="L30" i="14"/>
  <c r="M20" i="12" s="1"/>
  <c r="H29" i="14"/>
  <c r="I19" i="12" s="1"/>
  <c r="I66" i="12" s="1"/>
  <c r="I67" i="12" s="1"/>
  <c r="I68" i="12" s="1"/>
  <c r="I31" i="14"/>
  <c r="L28" i="14"/>
  <c r="M18" i="12" s="1"/>
  <c r="M48" i="12" s="1"/>
  <c r="I29" i="14"/>
  <c r="J19" i="12" s="1"/>
  <c r="J66" i="12" s="1"/>
  <c r="J67" i="12" s="1"/>
  <c r="J68" i="12" s="1"/>
  <c r="L29" i="14"/>
  <c r="M19" i="12" s="1"/>
  <c r="E107" i="12"/>
  <c r="E102" i="12"/>
  <c r="E103" i="12" l="1"/>
  <c r="K49" i="12"/>
  <c r="K77" i="12"/>
  <c r="K78" i="12" s="1"/>
  <c r="K79" i="12" s="1"/>
  <c r="E61" i="12"/>
  <c r="K39" i="12"/>
  <c r="K97" i="12"/>
  <c r="K98" i="12" s="1"/>
  <c r="K101" i="12" s="1"/>
  <c r="K70" i="12"/>
  <c r="K72" i="12" s="1"/>
  <c r="I99" i="12"/>
  <c r="I106" i="12" s="1"/>
  <c r="I111" i="12" s="1"/>
  <c r="I81" i="12"/>
  <c r="I83" i="12" s="1"/>
  <c r="I90" i="12" s="1"/>
  <c r="H111" i="12"/>
  <c r="J81" i="12"/>
  <c r="J83" i="12" s="1"/>
  <c r="J90" i="12" s="1"/>
  <c r="J99" i="12"/>
  <c r="J106" i="12" s="1"/>
  <c r="J111" i="12" s="1"/>
  <c r="K66" i="12"/>
  <c r="K67" i="12" s="1"/>
  <c r="K68" i="12" s="1"/>
  <c r="K40" i="12"/>
  <c r="M39" i="12"/>
  <c r="M97" i="12"/>
  <c r="M98" i="12" s="1"/>
  <c r="M101" i="12" s="1"/>
  <c r="M70" i="12"/>
  <c r="M72" i="12" s="1"/>
  <c r="K81" i="12"/>
  <c r="K83" i="12" s="1"/>
  <c r="K99" i="12"/>
  <c r="K106" i="12" s="1"/>
  <c r="M40" i="12"/>
  <c r="M66" i="12"/>
  <c r="M67" i="12" s="1"/>
  <c r="M68" i="12" s="1"/>
  <c r="I58" i="12"/>
  <c r="I77" i="12"/>
  <c r="I78" i="12" s="1"/>
  <c r="I79" i="12" s="1"/>
  <c r="I88" i="12" s="1"/>
  <c r="E52" i="12"/>
  <c r="L39" i="12"/>
  <c r="L70" i="12"/>
  <c r="L72" i="12" s="1"/>
  <c r="L97" i="12"/>
  <c r="L98" i="12" s="1"/>
  <c r="L101" i="12" s="1"/>
  <c r="M81" i="12"/>
  <c r="M83" i="12" s="1"/>
  <c r="M99" i="12"/>
  <c r="M106" i="12" s="1"/>
  <c r="M77" i="12"/>
  <c r="M78" i="12" s="1"/>
  <c r="M79" i="12" s="1"/>
  <c r="M49" i="12"/>
  <c r="J58" i="12"/>
  <c r="J77" i="12"/>
  <c r="J78" i="12" s="1"/>
  <c r="J79" i="12" s="1"/>
  <c r="J88" i="12" s="1"/>
  <c r="L40" i="12"/>
  <c r="L66" i="12"/>
  <c r="L67" i="12" s="1"/>
  <c r="L68" i="12" s="1"/>
  <c r="L49" i="12"/>
  <c r="L77" i="12"/>
  <c r="L78" i="12" s="1"/>
  <c r="L79" i="12" s="1"/>
  <c r="L81" i="12"/>
  <c r="L83" i="12" s="1"/>
  <c r="L99" i="12"/>
  <c r="L106" i="12" s="1"/>
  <c r="E44" i="12" l="1"/>
  <c r="B10" i="13" s="1"/>
  <c r="M88" i="12"/>
  <c r="M90" i="12"/>
  <c r="L90" i="12"/>
  <c r="E62" i="12"/>
  <c r="E63" i="12" s="1"/>
  <c r="B15" i="13" s="1"/>
  <c r="E84" i="12"/>
  <c r="E113" i="12"/>
  <c r="E112" i="12"/>
  <c r="K90" i="12"/>
  <c r="E73" i="12"/>
  <c r="B12" i="13"/>
  <c r="M111" i="12"/>
  <c r="K88" i="12"/>
  <c r="E69" i="12"/>
  <c r="K111" i="12"/>
  <c r="E115" i="12" s="1"/>
  <c r="D120" i="12" s="1"/>
  <c r="B25" i="13" s="1"/>
  <c r="E105" i="12"/>
  <c r="D118" i="12" s="1"/>
  <c r="B23" i="13" s="1"/>
  <c r="E104" i="12"/>
  <c r="E118" i="12" s="1"/>
  <c r="B27" i="13" s="1"/>
  <c r="E80" i="12"/>
  <c r="L88" i="12"/>
  <c r="L111" i="12"/>
  <c r="E110" i="12"/>
  <c r="E109" i="12"/>
  <c r="E119" i="12" s="1"/>
  <c r="B28" i="13" s="1"/>
  <c r="E108" i="12"/>
  <c r="E43" i="12"/>
  <c r="E53" i="12"/>
  <c r="B13" i="13" s="1"/>
  <c r="E89" i="12" l="1"/>
  <c r="E91" i="12"/>
  <c r="E45" i="12"/>
  <c r="B11" i="13" s="1"/>
  <c r="B9" i="13"/>
  <c r="E74" i="12"/>
  <c r="B17" i="13" s="1"/>
  <c r="E85" i="12"/>
  <c r="B18" i="13" s="1"/>
  <c r="E54" i="12"/>
  <c r="B14" i="13" s="1"/>
  <c r="D119" i="12"/>
  <c r="B24" i="13" s="1"/>
  <c r="E114" i="12"/>
  <c r="E120" i="12" s="1"/>
  <c r="B29" i="13" s="1"/>
  <c r="E92" i="12" l="1"/>
</calcChain>
</file>

<file path=xl/sharedStrings.xml><?xml version="1.0" encoding="utf-8"?>
<sst xmlns="http://schemas.openxmlformats.org/spreadsheetml/2006/main" count="747" uniqueCount="212">
  <si>
    <t>Table of Contents</t>
  </si>
  <si>
    <t>Sheet Name</t>
  </si>
  <si>
    <t>Link</t>
  </si>
  <si>
    <t>Buller Electricity</t>
  </si>
  <si>
    <t>Schedule 3 rows 9, 10, 11</t>
  </si>
  <si>
    <t>General Description</t>
  </si>
  <si>
    <t>Description and Status</t>
  </si>
  <si>
    <t>Inputs</t>
  </si>
  <si>
    <t>Calculations</t>
  </si>
  <si>
    <t>Output</t>
  </si>
  <si>
    <t>Electricity Distribution Business</t>
  </si>
  <si>
    <t>Business-specific data</t>
  </si>
  <si>
    <t>Alpine Energy</t>
  </si>
  <si>
    <t>Aurora Energy</t>
  </si>
  <si>
    <t>Centralines</t>
  </si>
  <si>
    <t>Counties Power</t>
  </si>
  <si>
    <t>Electra</t>
  </si>
  <si>
    <t>Electricity Ashburton</t>
  </si>
  <si>
    <t>Electricity Invercargill</t>
  </si>
  <si>
    <t>Horizon Energy</t>
  </si>
  <si>
    <t>Marlborough Lines</t>
  </si>
  <si>
    <t>Nelson Electricity</t>
  </si>
  <si>
    <t>Network Tasman</t>
  </si>
  <si>
    <t>Network Waitaki</t>
  </si>
  <si>
    <t>Northpower</t>
  </si>
  <si>
    <t>Orion NZ</t>
  </si>
  <si>
    <t>OtagoNet</t>
  </si>
  <si>
    <t>Powerco</t>
  </si>
  <si>
    <t>ScanPower</t>
  </si>
  <si>
    <t>The Lines Company</t>
  </si>
  <si>
    <t>The Power Company</t>
  </si>
  <si>
    <t>Top Energy</t>
  </si>
  <si>
    <t>WEL Networks</t>
  </si>
  <si>
    <t>Wellington Electricity</t>
  </si>
  <si>
    <t>Westpower</t>
  </si>
  <si>
    <t>Sch3(i)</t>
  </si>
  <si>
    <t>Sch4(i)</t>
  </si>
  <si>
    <t>Actual commissioned assets</t>
  </si>
  <si>
    <t>FS1</t>
  </si>
  <si>
    <t>Operating expenditure allowance (nominal)</t>
  </si>
  <si>
    <t>Capital expenditure allowance (nominal)</t>
  </si>
  <si>
    <t>Price Indices</t>
  </si>
  <si>
    <t>Weight of Labour costs in the opex input price factor</t>
  </si>
  <si>
    <t>Weight of producer prices in the opex input price factor</t>
  </si>
  <si>
    <t>Value</t>
  </si>
  <si>
    <t>2010 forecast opex deflator</t>
  </si>
  <si>
    <t>EDB Selection</t>
  </si>
  <si>
    <t>Actual opex deflator</t>
  </si>
  <si>
    <t>2009/10</t>
  </si>
  <si>
    <t>2010/11</t>
  </si>
  <si>
    <t>2011/12</t>
  </si>
  <si>
    <t>2012/13</t>
  </si>
  <si>
    <t>2013/14</t>
  </si>
  <si>
    <t>2014/15</t>
  </si>
  <si>
    <t>EDB</t>
  </si>
  <si>
    <t>Company number</t>
  </si>
  <si>
    <t>Total Opex</t>
  </si>
  <si>
    <t>WACC</t>
  </si>
  <si>
    <t>PV of total opex as at 1 April 2012</t>
  </si>
  <si>
    <t>PV of opex allowance as at 1 April 2012</t>
  </si>
  <si>
    <t>% change</t>
  </si>
  <si>
    <t>Output table</t>
  </si>
  <si>
    <t>This worksheet uses Excel's data table facility to display the calculated results for all suppliers.</t>
  </si>
  <si>
    <t>Supplier</t>
  </si>
  <si>
    <t>Scenario</t>
  </si>
  <si>
    <t>Name</t>
  </si>
  <si>
    <t>Supplier number</t>
  </si>
  <si>
    <t>Active EDB outputs</t>
  </si>
  <si>
    <t>PV of total opex as at 1 April 2012 ($m)</t>
  </si>
  <si>
    <t>PV of opex allowance as at 1 April 2012 ($m)</t>
  </si>
  <si>
    <t>PV of commissioned assets as at 1 April 2012 ($m)</t>
  </si>
  <si>
    <t>% variance in opex</t>
  </si>
  <si>
    <t>PV of commissioned assets as at 1 April 2012</t>
  </si>
  <si>
    <t>% variance in commissioned assets</t>
  </si>
  <si>
    <t>PV of capex allowance as at 1 April 2012</t>
  </si>
  <si>
    <t>Average Allowance vs Average Actual Total Opex</t>
  </si>
  <si>
    <t>NPV of Allowance vs Actual Total Opex (3 years)</t>
  </si>
  <si>
    <t>Actual operating expenditure (nominal)</t>
  </si>
  <si>
    <t>Actual operating expenditure in $2015 constant prices</t>
  </si>
  <si>
    <t>Actual opex index (2010 base year)</t>
  </si>
  <si>
    <t>Actual opex index (2015 base year)</t>
  </si>
  <si>
    <t>Average actual opex as proportion of average opex allowance (%)</t>
  </si>
  <si>
    <t>Average Allowance vs Average Actual Total Capex</t>
  </si>
  <si>
    <t>Actual capital expenditure (nominal)</t>
  </si>
  <si>
    <t>Actual capex index (2015 base year)</t>
  </si>
  <si>
    <t>Actual capex expenditure in $2015 constant prices</t>
  </si>
  <si>
    <t>Average actual capex as proportion of average capex allowance (%)</t>
  </si>
  <si>
    <t>Average Allowance vs Average Actual Total Expenditure</t>
  </si>
  <si>
    <t>Actual total expenditure in $2015 constant prices</t>
  </si>
  <si>
    <t>Average actual totex as proportion of average totex allowance (%)</t>
  </si>
  <si>
    <t>Actual opex as a proportion of allowance (%)</t>
  </si>
  <si>
    <t>Actual capex as a proportion of allowance (%)</t>
  </si>
  <si>
    <t>Actual totex as a proportion of allowance (%)</t>
  </si>
  <si>
    <t>Actual expenditure as a proporation of forecast expenditure allowances</t>
  </si>
  <si>
    <t>Average of operating expenditure allowance in $2015 constant prices (2013 - 2015)</t>
  </si>
  <si>
    <t>Average of actual operating expenditure in $2015 constant prices  (2013 - 2015)</t>
  </si>
  <si>
    <t>Average of actual capex expenditure in $2015 constant prices  (2013 - 2015)</t>
  </si>
  <si>
    <t>Average of capital expenditure allowance in $2015 constant prices  (2013 - 2015)</t>
  </si>
  <si>
    <t>Average of total expenditure allowance in $2015 constant prices  (2013 - 2015)</t>
  </si>
  <si>
    <t>Price Inflators</t>
  </si>
  <si>
    <t>Producer Price Inflator</t>
  </si>
  <si>
    <t>Labour Cost Inflator</t>
  </si>
  <si>
    <t>Capital Goods Price Inflator</t>
  </si>
  <si>
    <t>Year</t>
  </si>
  <si>
    <t>Quarter</t>
  </si>
  <si>
    <t>Producer Price Index</t>
  </si>
  <si>
    <t>Capital Goods Price Index</t>
  </si>
  <si>
    <t>Labour Cost Index</t>
  </si>
  <si>
    <t>Workings</t>
  </si>
  <si>
    <t>Reg. year</t>
  </si>
  <si>
    <t>Price Indices Actual</t>
  </si>
  <si>
    <t>Actuals</t>
  </si>
  <si>
    <t>Forecast as at 2012 price reset</t>
  </si>
  <si>
    <t>Inflators (2015 Base Year)</t>
  </si>
  <si>
    <t>2008/09</t>
  </si>
  <si>
    <t>2007/08</t>
  </si>
  <si>
    <t>Price Inflators (2015 base year)</t>
  </si>
  <si>
    <t>Operating expenditure  allowance $2010 constant prices</t>
  </si>
  <si>
    <t>Capital expenditure allowance $2010 constant prices</t>
  </si>
  <si>
    <t>Actual capex deflator</t>
  </si>
  <si>
    <t>2010 forecast capex deflator</t>
  </si>
  <si>
    <t>2012 DPP reset forecast labour cost index (2015 base year)</t>
  </si>
  <si>
    <t>2012 DPP reset forecast producer price index (2015 base year)</t>
  </si>
  <si>
    <t>2012 DPP reset forecast capex index (2015 base year)</t>
  </si>
  <si>
    <t>Actual labour cost index (2015 base year)</t>
  </si>
  <si>
    <t>Actual producer price index (2015 base year)</t>
  </si>
  <si>
    <t>Actual CGPI index (2015 base year)</t>
  </si>
  <si>
    <t>Actual CGPI index (2010 Base year)</t>
  </si>
  <si>
    <t>2012 DPP reset forecast opex index (2010 base year)</t>
  </si>
  <si>
    <t>2012 DPP reset forecast capex index (2010 base year)</t>
  </si>
  <si>
    <t>2012 DPP reset forecast opex index (2015 base year)</t>
  </si>
  <si>
    <t>Actual operational expenditure (excluding pass through costs)</t>
  </si>
  <si>
    <t>Actual non-network operational expenditure (excluding pass through costs)</t>
  </si>
  <si>
    <t>Actual network operational expenditure (excluding pass through costs)</t>
  </si>
  <si>
    <t>Operating expenditure (including pass-through costs)</t>
  </si>
  <si>
    <t>Pass-through costs</t>
  </si>
  <si>
    <t>Historic operating expenditure (including pass-through costs)</t>
  </si>
  <si>
    <t>Expenditure on assets (capital expenditure)</t>
  </si>
  <si>
    <t>Sch6b(i)</t>
  </si>
  <si>
    <t>PQR Total</t>
  </si>
  <si>
    <t>Non exempt businesses (1 = True)</t>
  </si>
  <si>
    <t>Industry Total (excl Orion)</t>
  </si>
  <si>
    <t>Nominal time-series</t>
  </si>
  <si>
    <t>Constant price time-series</t>
  </si>
  <si>
    <t>Total expenditure</t>
  </si>
  <si>
    <t>Change in annual average between …</t>
  </si>
  <si>
    <t>Historic expenditure vs  recent expenditure</t>
  </si>
  <si>
    <t>Operating expenditure 2008 - 2012 (including pass-through costs)</t>
  </si>
  <si>
    <t>Operating expenditure 2013 - 2015 (including pass-through costs)</t>
  </si>
  <si>
    <t>2008-2012 and 2013-2015</t>
  </si>
  <si>
    <t>2008-2010 and 2011-2015</t>
  </si>
  <si>
    <t>Change in annual average between 2008-2012 and 2013-2015</t>
  </si>
  <si>
    <t>Change in annual average between 2008-2010 and 2011-2015</t>
  </si>
  <si>
    <t xml:space="preserve"> Expenditure on assets (capital expenditure)</t>
  </si>
  <si>
    <t>Average 2008 - 2012</t>
  </si>
  <si>
    <t>Average 2008 - 2010</t>
  </si>
  <si>
    <t>Average 2011 - 2015</t>
  </si>
  <si>
    <t>Average 2013 - 2015</t>
  </si>
  <si>
    <t>Operating expenditure (incl. PT costs) (%)</t>
  </si>
  <si>
    <t>Capital expenditure (%)</t>
  </si>
  <si>
    <t>Total expenditure (%)</t>
  </si>
  <si>
    <t>Discount Rate</t>
  </si>
  <si>
    <t>ID only</t>
  </si>
  <si>
    <t>Data for graphs</t>
  </si>
  <si>
    <t>Waipa Network</t>
  </si>
  <si>
    <t>Unison Networks</t>
  </si>
  <si>
    <t>Eastland Network</t>
  </si>
  <si>
    <t>Vector Lines</t>
  </si>
  <si>
    <t>MainPower NZ</t>
  </si>
  <si>
    <t>Scanpower</t>
  </si>
  <si>
    <t>Charts for report</t>
  </si>
  <si>
    <t>Price-quality businesses</t>
  </si>
  <si>
    <t>Percentage change in annual average between 2008-2012 and 2013-2015</t>
  </si>
  <si>
    <t>All businesses</t>
  </si>
  <si>
    <t>Operating expenditure (including pass-through costs)
Change in annual average between 2008-2012 and 2013-2015</t>
  </si>
  <si>
    <t>Capital expenditure
Change in annual average between 2008-2012 and 2013-2015</t>
  </si>
  <si>
    <t>Variance in actual opex vs allowance (%)
2013-2015</t>
  </si>
  <si>
    <t>Variance in actual commissioned assets vs allowance (%)
2013-2015</t>
  </si>
  <si>
    <t>DPP</t>
  </si>
  <si>
    <t>ID</t>
  </si>
  <si>
    <t>CPP</t>
  </si>
  <si>
    <t>Default price-quality path</t>
  </si>
  <si>
    <t>Information disclosure only</t>
  </si>
  <si>
    <t>Customised price-quality path</t>
  </si>
  <si>
    <t>Analysis of EDB Performance 2010–2015</t>
  </si>
  <si>
    <t>Expenditure Analysis</t>
  </si>
  <si>
    <t>3 year inflation (2012-2015)</t>
  </si>
  <si>
    <t>Average annual inflation (2012-2015)</t>
  </si>
  <si>
    <t>Difference between forecast and actual inflation</t>
  </si>
  <si>
    <t>Inflators</t>
  </si>
  <si>
    <t>EDB Select</t>
  </si>
  <si>
    <t>Charts</t>
  </si>
  <si>
    <t>NPV of Allowance vs Actual Early Capex (2010-2012)</t>
  </si>
  <si>
    <t>% variance in early capex</t>
  </si>
  <si>
    <t>Variance in early capex vs allowance (%)
2010-2012</t>
  </si>
  <si>
    <t>Gains and losses on asset disposals</t>
  </si>
  <si>
    <t>PV of capex allowance as at 1 April 2012 ($m)</t>
  </si>
  <si>
    <t>PV of early capex as at 1 April 2012 ($m)</t>
  </si>
  <si>
    <t>PV of early capex allowance as at 1 April 2012 ($m)</t>
  </si>
  <si>
    <t>NPV of Allowance vs Actual Commissioned Assets (3 years)</t>
  </si>
  <si>
    <t>Version 1.  8 June 2016</t>
  </si>
  <si>
    <t>The purpose of this model is to assess recent expenditure against historical expenditure and expenditure as set for the 2012-2015 DPP reset.</t>
  </si>
  <si>
    <t>Chart data</t>
  </si>
  <si>
    <t>Original source: Actuals - Statistics New Zealand; 2012 forecast - NZIER</t>
  </si>
  <si>
    <t>Percentage change between DPP allowance and actuals</t>
  </si>
  <si>
    <t>Expenditure vs. 2012 DPP allowance</t>
  </si>
  <si>
    <t>Forecast price indices (as at 2012 DPP reset)</t>
  </si>
  <si>
    <t xml:space="preserve">Actual price indices </t>
  </si>
  <si>
    <t>Operating expenditure allowance in $2015 constant prices</t>
  </si>
  <si>
    <t>Capital expenditure allowance in $2015 constant prices</t>
  </si>
  <si>
    <t>Total expenditure in $2015 constant prices</t>
  </si>
  <si>
    <t>Price-quality vs. ID only businesses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</si>
</sst>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@_)"/>
    <numFmt numFmtId="165" formatCode="_(* #,##0_);_(* \(#,##0\);_(* &quot;-&quot;_);_(@_)"/>
    <numFmt numFmtId="166" formatCode="_(* #,##0.0_);_(* \(#,##0.0\);_(* &quot;–&quot;???_);_(* @_)"/>
    <numFmt numFmtId="167" formatCode="_(* #,##0.00_);_(* \(#,##0.00\);_(* &quot;–&quot;???_);_(* @_)"/>
    <numFmt numFmtId="168" formatCode="_(* #,##0.0000_);_(* \(#,##0.0000\);_(* &quot;–&quot;??_);_(* @_)"/>
    <numFmt numFmtId="169" formatCode="[$-1409]d\ mmm\ yy;@"/>
    <numFmt numFmtId="170" formatCode="_(* #,##0%_);_(* \(#,##0%\);_(* &quot;–&quot;???_);_(* @_)"/>
    <numFmt numFmtId="171" formatCode="_(* #,##0.0%_);_(* \(#,##0.0%\);_(* &quot;–&quot;??_);_(* @_)"/>
    <numFmt numFmtId="172" formatCode="_(* #,##0.00%_);_(* \(#,##0.00%\);_(* &quot;–&quot;???_);_(* @_)"/>
    <numFmt numFmtId="173" formatCode="_(* #,##0.000%_);_(* \(#,##0.000%\);_(* &quot;–&quot;???_);_(* @_)"/>
    <numFmt numFmtId="174" formatCode="_(* #,##0%_);_(* \(#,##0%\);_(* &quot;–&quot;??_);_(* @_)"/>
    <numFmt numFmtId="175" formatCode="_(* 0_);_(* \(0\);_(* &quot;–&quot;??_);_(@_)"/>
    <numFmt numFmtId="176" formatCode="_(* #,##0_);_(* \(#,##0\);_(* &quot;–&quot;???_);_(* @_)"/>
    <numFmt numFmtId="177" formatCode="0.000"/>
    <numFmt numFmtId="178" formatCode="#,##0;\-#,##0;"/>
    <numFmt numFmtId="179" formatCode="_(* #,##0.0%_);_(* \(#,##0.0%\);_(* &quot;–&quot;???_);_(* @_)"/>
    <numFmt numFmtId="180" formatCode="_-* #,##0.0000_-;\-* #,##0.00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2"/>
      <name val="Cambria"/>
      <family val="1"/>
      <scheme val="maj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sz val="12"/>
      <color theme="1"/>
      <name val="Calibri"/>
      <family val="2"/>
      <scheme val="minor"/>
    </font>
    <font>
      <sz val="10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theme="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176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9" fontId="22" fillId="0" borderId="0" applyFill="0" applyAlignment="0"/>
    <xf numFmtId="49" fontId="15" fillId="0" borderId="0" applyFill="0" applyAlignment="0"/>
    <xf numFmtId="49" fontId="16" fillId="0" borderId="0" applyFill="0" applyAlignment="0"/>
    <xf numFmtId="49" fontId="17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9" fillId="34" borderId="14" applyNumberFormat="0" applyFill="0" applyAlignment="0">
      <protection locked="0"/>
    </xf>
    <xf numFmtId="0" fontId="1" fillId="36" borderId="14" applyNumberFormat="0" applyFill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7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5" fontId="25" fillId="0" borderId="0" applyFont="0" applyFill="0" applyBorder="0" applyAlignment="0" applyProtection="0">
      <alignment horizontal="left"/>
      <protection locked="0"/>
    </xf>
    <xf numFmtId="165" fontId="1" fillId="36" borderId="15" applyNumberFormat="0" applyFont="0" applyFill="0" applyAlignment="0" applyProtection="0"/>
    <xf numFmtId="173" fontId="14" fillId="32" borderId="0" applyFont="0" applyBorder="0"/>
    <xf numFmtId="172" fontId="25" fillId="0" borderId="0" applyFont="0" applyFill="0" applyBorder="0" applyAlignment="0" applyProtection="0">
      <protection locked="0"/>
    </xf>
    <xf numFmtId="171" fontId="14" fillId="0" borderId="0" applyFont="0" applyFill="0" applyBorder="0" applyAlignment="0" applyProtection="0">
      <alignment horizontal="center" vertical="top" wrapText="1"/>
    </xf>
    <xf numFmtId="170" fontId="21" fillId="34" borderId="14" applyNumberFormat="0" applyFill="0" applyAlignment="0"/>
    <xf numFmtId="0" fontId="20" fillId="35" borderId="14" applyNumberFormat="0" applyFill="0">
      <alignment horizontal="centerContinuous" wrapText="1"/>
    </xf>
    <xf numFmtId="169" fontId="25" fillId="0" borderId="0" applyFont="0" applyFill="0" applyBorder="0" applyAlignment="0" applyProtection="0">
      <alignment wrapText="1"/>
    </xf>
    <xf numFmtId="168" fontId="25" fillId="0" borderId="0" applyFont="0" applyFill="0" applyBorder="0" applyAlignment="0" applyProtection="0"/>
    <xf numFmtId="167" fontId="25" fillId="0" borderId="0" applyFont="0" applyFill="0" applyBorder="0" applyAlignment="0" applyProtection="0">
      <protection locked="0"/>
    </xf>
    <xf numFmtId="164" fontId="26" fillId="0" borderId="0" applyFont="0" applyFill="0" applyBorder="0" applyAlignment="0" applyProtection="0">
      <alignment horizontal="left"/>
      <protection locked="0"/>
    </xf>
    <xf numFmtId="166" fontId="25" fillId="0" borderId="0" applyFont="0" applyFill="0" applyBorder="0" applyAlignment="0" applyProtection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7" fillId="0" borderId="0" applyFill="0" applyProtection="0">
      <alignment horizontal="left" indent="1"/>
    </xf>
    <xf numFmtId="172" fontId="29" fillId="0" borderId="0" applyFont="0" applyFill="0" applyBorder="0" applyAlignment="0" applyProtection="0">
      <protection locked="0"/>
    </xf>
    <xf numFmtId="0" fontId="25" fillId="0" borderId="0"/>
  </cellStyleXfs>
  <cellXfs count="146">
    <xf numFmtId="0" fontId="0" fillId="0" borderId="0" xfId="0"/>
    <xf numFmtId="0" fontId="0" fillId="0" borderId="0" xfId="0"/>
    <xf numFmtId="0" fontId="12" fillId="32" borderId="6" xfId="0" applyFont="1" applyFill="1" applyBorder="1"/>
    <xf numFmtId="0" fontId="12" fillId="32" borderId="7" xfId="0" applyFont="1" applyFill="1" applyBorder="1"/>
    <xf numFmtId="0" fontId="12" fillId="32" borderId="8" xfId="0" applyFont="1" applyFill="1" applyBorder="1"/>
    <xf numFmtId="0" fontId="12" fillId="32" borderId="9" xfId="0" applyFont="1" applyFill="1" applyBorder="1" applyAlignment="1">
      <alignment horizontal="centerContinuous"/>
    </xf>
    <xf numFmtId="0" fontId="12" fillId="32" borderId="0" xfId="0" applyFont="1" applyFill="1" applyBorder="1" applyAlignment="1">
      <alignment horizontal="centerContinuous"/>
    </xf>
    <xf numFmtId="0" fontId="13" fillId="32" borderId="10" xfId="0" applyFont="1" applyFill="1" applyBorder="1" applyAlignment="1">
      <alignment horizontal="centerContinuous"/>
    </xf>
    <xf numFmtId="0" fontId="12" fillId="32" borderId="9" xfId="0" applyFont="1" applyFill="1" applyBorder="1"/>
    <xf numFmtId="0" fontId="0" fillId="0" borderId="0" xfId="0" applyBorder="1"/>
    <xf numFmtId="0" fontId="12" fillId="32" borderId="10" xfId="0" applyFont="1" applyFill="1" applyBorder="1"/>
    <xf numFmtId="0" fontId="12" fillId="32" borderId="9" xfId="0" applyFont="1" applyFill="1" applyBorder="1" applyAlignment="1"/>
    <xf numFmtId="0" fontId="12" fillId="32" borderId="0" xfId="0" applyFont="1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49" fontId="22" fillId="0" borderId="0" xfId="5"/>
    <xf numFmtId="0" fontId="23" fillId="35" borderId="16" xfId="0" applyFont="1" applyFill="1" applyBorder="1"/>
    <xf numFmtId="0" fontId="23" fillId="35" borderId="17" xfId="0" applyFont="1" applyFill="1" applyBorder="1"/>
    <xf numFmtId="0" fontId="24" fillId="0" borderId="10" xfId="0" applyFont="1" applyFill="1" applyBorder="1" applyAlignment="1">
      <alignment horizontal="centerContinuous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27" fillId="0" borderId="0" xfId="20">
      <alignment horizontal="left" indent="1"/>
    </xf>
    <xf numFmtId="49" fontId="0" fillId="34" borderId="18" xfId="0" applyNumberFormat="1" applyFill="1" applyBorder="1"/>
    <xf numFmtId="0" fontId="18" fillId="34" borderId="19" xfId="58" applyFill="1" applyBorder="1" applyAlignment="1" applyProtection="1"/>
    <xf numFmtId="49" fontId="0" fillId="36" borderId="18" xfId="0" applyNumberFormat="1" applyFill="1" applyBorder="1"/>
    <xf numFmtId="0" fontId="18" fillId="36" borderId="19" xfId="58" applyFill="1" applyBorder="1" applyAlignment="1" applyProtection="1"/>
    <xf numFmtId="49" fontId="15" fillId="0" borderId="0" xfId="6" applyFill="1" applyBorder="1" applyAlignment="1">
      <alignment horizontal="left" indent="1"/>
    </xf>
    <xf numFmtId="164" fontId="0" fillId="0" borderId="0" xfId="56" applyFont="1" applyBorder="1" applyAlignment="1" applyProtection="1"/>
    <xf numFmtId="49" fontId="22" fillId="0" borderId="0" xfId="5" applyBorder="1"/>
    <xf numFmtId="174" fontId="0" fillId="0" borderId="0" xfId="50" applyNumberFormat="1" applyFont="1" applyAlignment="1"/>
    <xf numFmtId="49" fontId="17" fillId="32" borderId="0" xfId="8" applyFill="1">
      <alignment horizontal="left"/>
    </xf>
    <xf numFmtId="0" fontId="14" fillId="0" borderId="0" xfId="0" applyFont="1"/>
    <xf numFmtId="0" fontId="20" fillId="32" borderId="14" xfId="52" applyFill="1">
      <alignment horizontal="centerContinuous" wrapText="1"/>
    </xf>
    <xf numFmtId="0" fontId="20" fillId="0" borderId="14" xfId="52" applyFill="1">
      <alignment horizontal="centerContinuous" wrapText="1"/>
    </xf>
    <xf numFmtId="0" fontId="1" fillId="32" borderId="14" xfId="14" applyFill="1"/>
    <xf numFmtId="176" fontId="19" fillId="32" borderId="14" xfId="2" applyFont="1" applyFill="1" applyBorder="1" applyProtection="1">
      <protection locked="0"/>
    </xf>
    <xf numFmtId="176" fontId="19" fillId="0" borderId="14" xfId="2" applyFont="1" applyFill="1" applyBorder="1" applyProtection="1">
      <protection locked="0"/>
    </xf>
    <xf numFmtId="0" fontId="0" fillId="32" borderId="14" xfId="14" applyFont="1" applyFill="1"/>
    <xf numFmtId="49" fontId="16" fillId="0" borderId="0" xfId="7"/>
    <xf numFmtId="0" fontId="1" fillId="0" borderId="14" xfId="14" applyFill="1"/>
    <xf numFmtId="0" fontId="0" fillId="0" borderId="14" xfId="14" applyFont="1" applyFill="1"/>
    <xf numFmtId="49" fontId="17" fillId="0" borderId="0" xfId="8" applyFill="1">
      <alignment horizontal="left"/>
    </xf>
    <xf numFmtId="168" fontId="1" fillId="0" borderId="14" xfId="54" applyFont="1" applyFill="1" applyBorder="1" applyProtection="1"/>
    <xf numFmtId="168" fontId="21" fillId="0" borderId="14" xfId="54" applyFont="1" applyFill="1" applyBorder="1"/>
    <xf numFmtId="172" fontId="21" fillId="0" borderId="14" xfId="49" applyFont="1" applyFill="1" applyBorder="1" applyAlignment="1" applyProtection="1"/>
    <xf numFmtId="9" fontId="21" fillId="0" borderId="14" xfId="61" applyFont="1" applyFill="1" applyBorder="1" applyAlignment="1"/>
    <xf numFmtId="176" fontId="0" fillId="0" borderId="14" xfId="2" applyFont="1" applyFill="1" applyBorder="1"/>
    <xf numFmtId="169" fontId="20" fillId="0" borderId="14" xfId="53" applyFont="1" applyFill="1" applyBorder="1" applyAlignment="1">
      <alignment horizontal="centerContinuous" wrapText="1"/>
    </xf>
    <xf numFmtId="172" fontId="1" fillId="0" borderId="14" xfId="49" applyFont="1" applyFill="1" applyBorder="1" applyProtection="1"/>
    <xf numFmtId="49" fontId="22" fillId="0" borderId="0" xfId="5" applyFill="1" applyAlignment="1">
      <alignment vertical="center"/>
    </xf>
    <xf numFmtId="164" fontId="27" fillId="0" borderId="0" xfId="62" quotePrefix="1" applyFill="1" applyAlignment="1" applyProtection="1">
      <alignment horizontal="left" vertical="top"/>
    </xf>
    <xf numFmtId="0" fontId="28" fillId="0" borderId="0" xfId="0" applyFont="1" applyBorder="1"/>
    <xf numFmtId="0" fontId="14" fillId="0" borderId="0" xfId="0" applyFont="1" applyBorder="1"/>
    <xf numFmtId="164" fontId="20" fillId="0" borderId="24" xfId="56" applyFont="1" applyFill="1" applyBorder="1" applyAlignment="1" applyProtection="1">
      <alignment horizontal="left" wrapText="1"/>
    </xf>
    <xf numFmtId="0" fontId="20" fillId="0" borderId="24" xfId="52" applyFill="1" applyBorder="1">
      <alignment horizontal="centerContinuous" wrapText="1"/>
    </xf>
    <xf numFmtId="0" fontId="20" fillId="0" borderId="24" xfId="52" applyFill="1" applyBorder="1" applyAlignment="1">
      <alignment horizontal="right" wrapText="1"/>
    </xf>
    <xf numFmtId="164" fontId="1" fillId="0" borderId="14" xfId="14" applyNumberFormat="1" applyFill="1" applyAlignment="1"/>
    <xf numFmtId="164" fontId="1" fillId="0" borderId="14" xfId="14" applyNumberFormat="1" applyFont="1" applyFill="1" applyAlignment="1"/>
    <xf numFmtId="0" fontId="0" fillId="0" borderId="14" xfId="14" applyFont="1" applyFill="1" applyAlignment="1">
      <alignment horizontal="right"/>
    </xf>
    <xf numFmtId="0" fontId="21" fillId="0" borderId="14" xfId="51" applyNumberFormat="1" applyFill="1" applyAlignment="1" applyProtection="1">
      <alignment horizontal="center"/>
      <protection locked="0"/>
    </xf>
    <xf numFmtId="164" fontId="0" fillId="0" borderId="14" xfId="14" applyNumberFormat="1" applyFont="1" applyFill="1" applyAlignment="1">
      <alignment horizontal="left"/>
    </xf>
    <xf numFmtId="0" fontId="14" fillId="0" borderId="0" xfId="0" applyFont="1" applyFill="1" applyBorder="1"/>
    <xf numFmtId="0" fontId="14" fillId="0" borderId="0" xfId="0" applyFont="1" applyFill="1"/>
    <xf numFmtId="0" fontId="1" fillId="0" borderId="14" xfId="14" applyFill="1"/>
    <xf numFmtId="166" fontId="0" fillId="0" borderId="14" xfId="2" applyNumberFormat="1" applyFont="1" applyFill="1" applyBorder="1"/>
    <xf numFmtId="170" fontId="1" fillId="0" borderId="14" xfId="49" applyNumberFormat="1" applyFont="1" applyFill="1" applyBorder="1" applyProtection="1"/>
    <xf numFmtId="0" fontId="12" fillId="0" borderId="25" xfId="0" applyFont="1" applyBorder="1"/>
    <xf numFmtId="0" fontId="12" fillId="0" borderId="0" xfId="0" applyFont="1"/>
    <xf numFmtId="166" fontId="12" fillId="0" borderId="0" xfId="57" applyFont="1" applyProtection="1"/>
    <xf numFmtId="0" fontId="12" fillId="0" borderId="26" xfId="0" applyFont="1" applyBorder="1"/>
    <xf numFmtId="166" fontId="12" fillId="0" borderId="26" xfId="57" applyFont="1" applyBorder="1" applyProtection="1"/>
    <xf numFmtId="0" fontId="12" fillId="0" borderId="7" xfId="0" applyFont="1" applyBorder="1"/>
    <xf numFmtId="166" fontId="12" fillId="0" borderId="7" xfId="57" applyFont="1" applyBorder="1" applyProtection="1"/>
    <xf numFmtId="0" fontId="30" fillId="0" borderId="25" xfId="0" applyFont="1" applyBorder="1" applyAlignment="1">
      <alignment horizontal="center" wrapText="1"/>
    </xf>
    <xf numFmtId="0" fontId="30" fillId="0" borderId="0" xfId="0" applyFont="1"/>
    <xf numFmtId="0" fontId="1" fillId="0" borderId="14" xfId="14" applyFill="1"/>
    <xf numFmtId="0" fontId="1" fillId="0" borderId="14" xfId="14" applyFill="1"/>
    <xf numFmtId="0" fontId="19" fillId="0" borderId="14" xfId="13" applyFill="1">
      <protection locked="0"/>
    </xf>
    <xf numFmtId="9" fontId="19" fillId="0" borderId="14" xfId="13" applyNumberFormat="1" applyFill="1">
      <protection locked="0"/>
    </xf>
    <xf numFmtId="10" fontId="19" fillId="0" borderId="14" xfId="13" applyNumberFormat="1" applyFill="1">
      <protection locked="0"/>
    </xf>
    <xf numFmtId="0" fontId="20" fillId="0" borderId="14" xfId="52" applyFill="1" applyAlignment="1">
      <alignment horizontal="center" wrapText="1"/>
    </xf>
    <xf numFmtId="0" fontId="1" fillId="0" borderId="14" xfId="14" applyFill="1" applyAlignment="1">
      <alignment horizontal="center"/>
    </xf>
    <xf numFmtId="168" fontId="1" fillId="0" borderId="14" xfId="54" applyFont="1" applyFill="1" applyBorder="1" applyAlignment="1">
      <alignment horizontal="center"/>
    </xf>
    <xf numFmtId="49" fontId="27" fillId="0" borderId="0" xfId="20" applyFill="1">
      <alignment horizontal="left" indent="1"/>
    </xf>
    <xf numFmtId="0" fontId="20" fillId="0" borderId="14" xfId="52" applyFill="1" applyAlignment="1">
      <alignment horizontal="right" wrapText="1"/>
    </xf>
    <xf numFmtId="0" fontId="21" fillId="0" borderId="14" xfId="61" applyNumberFormat="1" applyFont="1" applyFill="1" applyBorder="1" applyAlignment="1">
      <alignment horizontal="center"/>
    </xf>
    <xf numFmtId="1" fontId="19" fillId="0" borderId="14" xfId="13" applyNumberFormat="1" applyFill="1">
      <protection locked="0"/>
    </xf>
    <xf numFmtId="0" fontId="1" fillId="0" borderId="14" xfId="14" applyFill="1" applyAlignment="1">
      <alignment horizontal="right"/>
    </xf>
    <xf numFmtId="1" fontId="1" fillId="0" borderId="14" xfId="14" applyNumberFormat="1" applyFill="1"/>
    <xf numFmtId="177" fontId="1" fillId="0" borderId="14" xfId="14" applyNumberFormat="1" applyFill="1"/>
    <xf numFmtId="166" fontId="0" fillId="0" borderId="0" xfId="2" applyNumberFormat="1" applyFont="1" applyFill="1" applyBorder="1"/>
    <xf numFmtId="170" fontId="1" fillId="0" borderId="0" xfId="49" applyNumberFormat="1" applyFont="1" applyFill="1" applyBorder="1" applyProtection="1"/>
    <xf numFmtId="176" fontId="0" fillId="0" borderId="0" xfId="2" applyFont="1" applyFill="1" applyBorder="1"/>
    <xf numFmtId="172" fontId="21" fillId="0" borderId="14" xfId="51" applyNumberFormat="1" applyFill="1"/>
    <xf numFmtId="0" fontId="21" fillId="0" borderId="14" xfId="51" applyNumberFormat="1" applyFill="1"/>
    <xf numFmtId="9" fontId="21" fillId="0" borderId="14" xfId="51" applyNumberFormat="1" applyFill="1"/>
    <xf numFmtId="168" fontId="21" fillId="0" borderId="14" xfId="51" applyNumberFormat="1" applyFill="1"/>
    <xf numFmtId="176" fontId="21" fillId="0" borderId="14" xfId="2" applyFont="1" applyFill="1" applyBorder="1"/>
    <xf numFmtId="0" fontId="1" fillId="32" borderId="14" xfId="14" applyFill="1" applyAlignment="1">
      <alignment horizontal="center"/>
    </xf>
    <xf numFmtId="0" fontId="0" fillId="32" borderId="14" xfId="14" applyFont="1" applyFill="1" applyAlignment="1">
      <alignment horizontal="center"/>
    </xf>
    <xf numFmtId="49" fontId="15" fillId="0" borderId="0" xfId="6"/>
    <xf numFmtId="176" fontId="1" fillId="0" borderId="14" xfId="14" applyNumberFormat="1" applyFill="1"/>
    <xf numFmtId="176" fontId="0" fillId="0" borderId="0" xfId="0" applyNumberFormat="1"/>
    <xf numFmtId="171" fontId="1" fillId="0" borderId="14" xfId="50" applyFont="1" applyFill="1" applyBorder="1" applyAlignment="1"/>
    <xf numFmtId="0" fontId="0" fillId="0" borderId="14" xfId="14" applyFont="1" applyFill="1" applyAlignment="1">
      <alignment horizontal="left" indent="2"/>
    </xf>
    <xf numFmtId="0" fontId="1" fillId="0" borderId="14" xfId="14" applyFill="1" applyAlignment="1">
      <alignment horizontal="left" indent="2"/>
    </xf>
    <xf numFmtId="178" fontId="0" fillId="0" borderId="14" xfId="14" applyNumberFormat="1" applyFont="1" applyFill="1"/>
    <xf numFmtId="178" fontId="0" fillId="0" borderId="14" xfId="2" applyNumberFormat="1" applyFont="1" applyFill="1" applyBorder="1"/>
    <xf numFmtId="179" fontId="1" fillId="0" borderId="14" xfId="49" applyNumberFormat="1" applyFont="1" applyFill="1" applyBorder="1" applyProtection="1"/>
    <xf numFmtId="0" fontId="1" fillId="0" borderId="14" xfId="14" applyFill="1"/>
    <xf numFmtId="0" fontId="30" fillId="0" borderId="25" xfId="0" applyFont="1" applyBorder="1" applyAlignment="1">
      <alignment horizontal="right" wrapText="1"/>
    </xf>
    <xf numFmtId="167" fontId="12" fillId="0" borderId="0" xfId="57" applyNumberFormat="1" applyFont="1" applyProtection="1"/>
    <xf numFmtId="167" fontId="12" fillId="0" borderId="26" xfId="57" applyNumberFormat="1" applyFont="1" applyBorder="1" applyProtection="1"/>
    <xf numFmtId="9" fontId="0" fillId="0" borderId="14" xfId="61" applyFont="1" applyFill="1" applyBorder="1"/>
    <xf numFmtId="43" fontId="0" fillId="0" borderId="0" xfId="0" applyNumberFormat="1"/>
    <xf numFmtId="180" fontId="0" fillId="0" borderId="0" xfId="0" applyNumberFormat="1"/>
    <xf numFmtId="168" fontId="1" fillId="0" borderId="14" xfId="54" applyFont="1" applyFill="1" applyBorder="1"/>
    <xf numFmtId="0" fontId="12" fillId="0" borderId="12" xfId="0" applyFont="1" applyBorder="1"/>
    <xf numFmtId="167" fontId="12" fillId="0" borderId="12" xfId="57" applyNumberFormat="1" applyFont="1" applyBorder="1" applyProtection="1"/>
    <xf numFmtId="0" fontId="12" fillId="0" borderId="0" xfId="0" applyFont="1" applyBorder="1"/>
    <xf numFmtId="167" fontId="12" fillId="0" borderId="0" xfId="57" applyNumberFormat="1" applyFont="1" applyBorder="1" applyProtection="1"/>
    <xf numFmtId="167" fontId="12" fillId="0" borderId="7" xfId="57" applyNumberFormat="1" applyFont="1" applyBorder="1" applyProtection="1"/>
    <xf numFmtId="0" fontId="30" fillId="0" borderId="0" xfId="0" applyFont="1" applyBorder="1" applyAlignment="1">
      <alignment horizontal="right" wrapText="1"/>
    </xf>
    <xf numFmtId="49" fontId="16" fillId="0" borderId="0" xfId="7" applyFill="1" applyAlignment="1">
      <alignment vertical="center"/>
    </xf>
    <xf numFmtId="0" fontId="0" fillId="0" borderId="0" xfId="0" applyAlignment="1">
      <alignment wrapText="1"/>
    </xf>
    <xf numFmtId="0" fontId="1" fillId="0" borderId="14" xfId="14" applyFill="1"/>
    <xf numFmtId="176" fontId="1" fillId="32" borderId="14" xfId="14" applyNumberFormat="1" applyFill="1"/>
    <xf numFmtId="49" fontId="0" fillId="36" borderId="22" xfId="0" applyNumberFormat="1" applyFill="1" applyBorder="1"/>
    <xf numFmtId="0" fontId="18" fillId="36" borderId="23" xfId="58" applyFill="1" applyBorder="1" applyAlignment="1" applyProtection="1">
      <alignment horizontal="left" indent="1"/>
    </xf>
    <xf numFmtId="49" fontId="0" fillId="36" borderId="20" xfId="0" applyNumberFormat="1" applyFill="1" applyBorder="1"/>
    <xf numFmtId="0" fontId="18" fillId="36" borderId="21" xfId="58" applyFill="1" applyBorder="1" applyAlignment="1" applyProtection="1"/>
    <xf numFmtId="168" fontId="1" fillId="0" borderId="14" xfId="14" applyNumberFormat="1" applyFill="1"/>
    <xf numFmtId="172" fontId="11" fillId="0" borderId="14" xfId="49" applyFont="1" applyFill="1" applyBorder="1" applyProtection="1"/>
    <xf numFmtId="0" fontId="1" fillId="0" borderId="14" xfId="14" applyFill="1"/>
    <xf numFmtId="0" fontId="1" fillId="0" borderId="14" xfId="14" applyFill="1"/>
    <xf numFmtId="176" fontId="11" fillId="0" borderId="14" xfId="2" applyNumberFormat="1" applyFont="1" applyFill="1" applyBorder="1"/>
    <xf numFmtId="171" fontId="0" fillId="0" borderId="14" xfId="50" applyFont="1" applyFill="1" applyBorder="1" applyAlignment="1"/>
    <xf numFmtId="0" fontId="0" fillId="0" borderId="0" xfId="0" applyFill="1"/>
    <xf numFmtId="169" fontId="20" fillId="0" borderId="14" xfId="53" applyFont="1" applyFill="1" applyBorder="1" applyAlignment="1">
      <alignment horizontal="right" wrapText="1"/>
    </xf>
    <xf numFmtId="166" fontId="21" fillId="0" borderId="14" xfId="51" applyNumberFormat="1" applyFill="1"/>
    <xf numFmtId="0" fontId="20" fillId="0" borderId="14" xfId="52" applyFill="1" applyAlignment="1">
      <alignment horizontal="left" wrapText="1"/>
    </xf>
    <xf numFmtId="0" fontId="19" fillId="34" borderId="14" xfId="13" applyAlignment="1">
      <alignment vertical="top" wrapText="1"/>
      <protection locked="0"/>
    </xf>
    <xf numFmtId="0" fontId="19" fillId="34" borderId="14" xfId="13" applyAlignment="1">
      <alignment wrapText="1"/>
      <protection locked="0"/>
    </xf>
    <xf numFmtId="0" fontId="2" fillId="0" borderId="14" xfId="14" applyFont="1" applyFill="1" applyAlignment="1">
      <alignment horizontal="center"/>
    </xf>
    <xf numFmtId="0" fontId="1" fillId="0" borderId="14" xfId="14" applyFill="1"/>
  </cellXfs>
  <cellStyles count="65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 [0]" xfId="2" builtinId="6" customBuiltin="1"/>
    <cellStyle name="Comma [1]" xfId="57"/>
    <cellStyle name="Comma [2]" xfId="55"/>
    <cellStyle name="Comma [4]" xfId="54"/>
    <cellStyle name="Currency" xfId="3" builtinId="4" hidden="1"/>
    <cellStyle name="Currency [0]" xfId="4" builtinId="7" hidden="1"/>
    <cellStyle name="Date (short)" xfId="53"/>
    <cellStyle name="Explanatory Text" xfId="20" builtinId="53" customBuiltin="1"/>
    <cellStyle name="Explanatory Text 2" xfId="62"/>
    <cellStyle name="Good" xfId="10" builtinId="26" hidde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hidden="1"/>
    <cellStyle name="Hyperlink" xfId="58" builtinId="8" customBuiltin="1"/>
    <cellStyle name="Input" xfId="13" builtinId="20" customBuiltin="1"/>
    <cellStyle name="Label" xfId="52"/>
    <cellStyle name="Link" xfId="51"/>
    <cellStyle name="Linked Cell" xfId="16" builtinId="24" hidden="1"/>
    <cellStyle name="Neutral" xfId="12" builtinId="28" hidden="1"/>
    <cellStyle name="Normal" xfId="0" builtinId="0" customBuiltin="1"/>
    <cellStyle name="Normal 66" xfId="64"/>
    <cellStyle name="Note" xfId="19" builtinId="10" hidden="1"/>
    <cellStyle name="Output" xfId="14" builtinId="21" customBuiltin="1"/>
    <cellStyle name="Percent" xfId="59" builtinId="5" hidden="1" customBuiltin="1"/>
    <cellStyle name="Percent" xfId="61" builtinId="5"/>
    <cellStyle name="Percent [0]" xfId="60"/>
    <cellStyle name="Percent [1]" xfId="50"/>
    <cellStyle name="Percent [2]" xfId="49"/>
    <cellStyle name="Percent [2] 2" xfId="63"/>
    <cellStyle name="Percent [3]" xfId="48"/>
    <cellStyle name="Rt border" xfId="47"/>
    <cellStyle name="Text" xfId="56"/>
    <cellStyle name="Title" xfId="5" builtinId="15" customBuiltin="1"/>
    <cellStyle name="Total" xfId="21" builtinId="25" hidden="1"/>
    <cellStyle name="Warning Text" xfId="18" builtinId="11" hidden="1"/>
    <cellStyle name="Year" xfId="46"/>
  </cellStyles>
  <dxfs count="0"/>
  <tableStyles count="0" defaultTableStyle="TableStyleMedium2" defaultPivotStyle="PivotStyleLight16"/>
  <colors>
    <mruColors>
      <color rgb="FFADD7DB"/>
      <color rgb="FF3E8A92"/>
      <color rgb="FFD97E55"/>
      <color rgb="FF5FB0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cat>
            <c:strRef>
              <c:f>'Chart data'!$F$38:$F$54</c:f>
              <c:strCache>
                <c:ptCount val="16"/>
                <c:pt idx="0">
                  <c:v>The Lines Company</c:v>
                </c:pt>
                <c:pt idx="1">
                  <c:v>OtagoNet</c:v>
                </c:pt>
                <c:pt idx="2">
                  <c:v>Centralines</c:v>
                </c:pt>
                <c:pt idx="3">
                  <c:v>Electricity Ashburton</c:v>
                </c:pt>
                <c:pt idx="4">
                  <c:v>Eastland Network</c:v>
                </c:pt>
                <c:pt idx="5">
                  <c:v>Alpine Energy</c:v>
                </c:pt>
                <c:pt idx="6">
                  <c:v>Unison Networks</c:v>
                </c:pt>
                <c:pt idx="7">
                  <c:v>Vector Lines</c:v>
                </c:pt>
                <c:pt idx="8">
                  <c:v>Aurora Energy</c:v>
                </c:pt>
                <c:pt idx="9">
                  <c:v>Network Tasman</c:v>
                </c:pt>
                <c:pt idx="10">
                  <c:v>Nelson Electricity</c:v>
                </c:pt>
                <c:pt idx="11">
                  <c:v>Electricity Invercargill</c:v>
                </c:pt>
                <c:pt idx="12">
                  <c:v>Powerco</c:v>
                </c:pt>
                <c:pt idx="13">
                  <c:v>Horizon Energy</c:v>
                </c:pt>
                <c:pt idx="14">
                  <c:v>Top Energy</c:v>
                </c:pt>
                <c:pt idx="15">
                  <c:v>Wellington Electricity</c:v>
                </c:pt>
              </c:strCache>
            </c:strRef>
          </c:cat>
          <c:val>
            <c:numRef>
              <c:f>'Chart data'!$G$38:$G$53</c:f>
              <c:numCache>
                <c:formatCode>_(* #,##0.0_);_(* \(#,##0.0\);_(* "–"???_);_(* @_)</c:formatCode>
                <c:ptCount val="16"/>
                <c:pt idx="0">
                  <c:v>39.780186821643035</c:v>
                </c:pt>
                <c:pt idx="1">
                  <c:v>35.495740053923441</c:v>
                </c:pt>
                <c:pt idx="2">
                  <c:v>34.872881789683419</c:v>
                </c:pt>
                <c:pt idx="3">
                  <c:v>30.387775741224665</c:v>
                </c:pt>
                <c:pt idx="4">
                  <c:v>29.347533745070219</c:v>
                </c:pt>
                <c:pt idx="5">
                  <c:v>29.046201592928167</c:v>
                </c:pt>
                <c:pt idx="6">
                  <c:v>27.453156880651175</c:v>
                </c:pt>
                <c:pt idx="7">
                  <c:v>15.116302809212613</c:v>
                </c:pt>
                <c:pt idx="8">
                  <c:v>13.448372538167487</c:v>
                </c:pt>
                <c:pt idx="9">
                  <c:v>9.0679530148082055</c:v>
                </c:pt>
                <c:pt idx="10">
                  <c:v>8.5108585932925251</c:v>
                </c:pt>
                <c:pt idx="11">
                  <c:v>7.9952780278018887</c:v>
                </c:pt>
                <c:pt idx="12">
                  <c:v>7.7598265734194483</c:v>
                </c:pt>
                <c:pt idx="13">
                  <c:v>6.522656654355008</c:v>
                </c:pt>
                <c:pt idx="14">
                  <c:v>5.5900157116412608</c:v>
                </c:pt>
                <c:pt idx="15">
                  <c:v>-6.9076725131581469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8064"/>
        <c:axId val="162649600"/>
      </c:barChart>
      <c:catAx>
        <c:axId val="1626480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2649600"/>
        <c:crosses val="autoZero"/>
        <c:auto val="1"/>
        <c:lblAlgn val="ctr"/>
        <c:lblOffset val="100"/>
        <c:noMultiLvlLbl val="0"/>
      </c:catAx>
      <c:valAx>
        <c:axId val="162649600"/>
        <c:scaling>
          <c:orientation val="minMax"/>
          <c:max val="42"/>
          <c:min val="-2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2648064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cat>
            <c:strRef>
              <c:f>'Chart data'!$O$38:$O$54</c:f>
              <c:strCache>
                <c:ptCount val="16"/>
                <c:pt idx="0">
                  <c:v>Nelson Electricity</c:v>
                </c:pt>
                <c:pt idx="1">
                  <c:v>Top Energy</c:v>
                </c:pt>
                <c:pt idx="2">
                  <c:v>Network Tasman</c:v>
                </c:pt>
                <c:pt idx="3">
                  <c:v>Eastland Network</c:v>
                </c:pt>
                <c:pt idx="4">
                  <c:v>Electricity Invercargill</c:v>
                </c:pt>
                <c:pt idx="5">
                  <c:v>Horizon Energy</c:v>
                </c:pt>
                <c:pt idx="6">
                  <c:v>Alpine Energy</c:v>
                </c:pt>
                <c:pt idx="7">
                  <c:v>OtagoNet</c:v>
                </c:pt>
                <c:pt idx="8">
                  <c:v>Powerco</c:v>
                </c:pt>
                <c:pt idx="9">
                  <c:v>Electricity Ashburton</c:v>
                </c:pt>
                <c:pt idx="10">
                  <c:v>Vector Lines</c:v>
                </c:pt>
                <c:pt idx="11">
                  <c:v>The Lines Company</c:v>
                </c:pt>
                <c:pt idx="12">
                  <c:v>Unison Networks</c:v>
                </c:pt>
                <c:pt idx="13">
                  <c:v>Wellington Electricity</c:v>
                </c:pt>
                <c:pt idx="14">
                  <c:v>Aurora Energy</c:v>
                </c:pt>
                <c:pt idx="15">
                  <c:v>Centralines</c:v>
                </c:pt>
              </c:strCache>
            </c:strRef>
          </c:cat>
          <c:val>
            <c:numRef>
              <c:f>'Chart data'!$P$38:$P$53</c:f>
              <c:numCache>
                <c:formatCode>_(* #,##0.0_);_(* \(#,##0.0\);_(* "–"???_);_(* @_)</c:formatCode>
                <c:ptCount val="16"/>
                <c:pt idx="0">
                  <c:v>345.42350535163189</c:v>
                </c:pt>
                <c:pt idx="1">
                  <c:v>103.28695762809912</c:v>
                </c:pt>
                <c:pt idx="2">
                  <c:v>96.155539313774938</c:v>
                </c:pt>
                <c:pt idx="3">
                  <c:v>91.411891957254497</c:v>
                </c:pt>
                <c:pt idx="4">
                  <c:v>70.174030970542091</c:v>
                </c:pt>
                <c:pt idx="5">
                  <c:v>69.939336148796812</c:v>
                </c:pt>
                <c:pt idx="6">
                  <c:v>59.670393482394466</c:v>
                </c:pt>
                <c:pt idx="7">
                  <c:v>39.797740843169493</c:v>
                </c:pt>
                <c:pt idx="8">
                  <c:v>25.497410023117762</c:v>
                </c:pt>
                <c:pt idx="9">
                  <c:v>25.204380379628887</c:v>
                </c:pt>
                <c:pt idx="10">
                  <c:v>17.827738541378977</c:v>
                </c:pt>
                <c:pt idx="11">
                  <c:v>11.277323029744114</c:v>
                </c:pt>
                <c:pt idx="12">
                  <c:v>10.829479922586248</c:v>
                </c:pt>
                <c:pt idx="13">
                  <c:v>3.5878454241121238</c:v>
                </c:pt>
                <c:pt idx="14">
                  <c:v>2.5139545012709652</c:v>
                </c:pt>
                <c:pt idx="15">
                  <c:v>-34.158959604192972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70560"/>
        <c:axId val="164772096"/>
      </c:barChart>
      <c:catAx>
        <c:axId val="16477056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4772096"/>
        <c:crosses val="autoZero"/>
        <c:auto val="1"/>
        <c:lblAlgn val="ctr"/>
        <c:lblOffset val="100"/>
        <c:noMultiLvlLbl val="0"/>
      </c:catAx>
      <c:valAx>
        <c:axId val="164772096"/>
        <c:scaling>
          <c:orientation val="minMax"/>
          <c:max val="400"/>
          <c:min val="-10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477056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74747474747473"/>
          <c:y val="2.4151028413910092E-2"/>
          <c:w val="0.56653499278499275"/>
          <c:h val="0.908351092027141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cat>
            <c:strRef>
              <c:f>'Chart data'!$X$38:$X$53</c:f>
              <c:strCache>
                <c:ptCount val="16"/>
                <c:pt idx="0">
                  <c:v>Wellington Electricity</c:v>
                </c:pt>
                <c:pt idx="1">
                  <c:v>Nelson Electricity</c:v>
                </c:pt>
                <c:pt idx="2">
                  <c:v>Vector Lines</c:v>
                </c:pt>
                <c:pt idx="3">
                  <c:v>Aurora Energy</c:v>
                </c:pt>
                <c:pt idx="4">
                  <c:v>Electricity Invercargill</c:v>
                </c:pt>
                <c:pt idx="5">
                  <c:v>Powerco</c:v>
                </c:pt>
                <c:pt idx="6">
                  <c:v>Top Energy</c:v>
                </c:pt>
                <c:pt idx="7">
                  <c:v>Horizon Energy</c:v>
                </c:pt>
                <c:pt idx="8">
                  <c:v>Network Tasman</c:v>
                </c:pt>
                <c:pt idx="9">
                  <c:v>The Lines Company</c:v>
                </c:pt>
                <c:pt idx="10">
                  <c:v>Eastland Network</c:v>
                </c:pt>
                <c:pt idx="11">
                  <c:v>Unison Networks</c:v>
                </c:pt>
                <c:pt idx="12">
                  <c:v>Alpine Energy</c:v>
                </c:pt>
                <c:pt idx="13">
                  <c:v>Electricity Ashburton</c:v>
                </c:pt>
                <c:pt idx="14">
                  <c:v>OtagoNet</c:v>
                </c:pt>
                <c:pt idx="15">
                  <c:v>Centralines</c:v>
                </c:pt>
              </c:strCache>
            </c:strRef>
          </c:cat>
          <c:val>
            <c:numRef>
              <c:f>'Chart data'!$Y$38:$Y$53</c:f>
              <c:numCache>
                <c:formatCode>_(* #,##0.0_);_(* \(#,##0.0\);_(* "–"???_);_(* @_)</c:formatCode>
                <c:ptCount val="16"/>
                <c:pt idx="0">
                  <c:v>-15.437482832996608</c:v>
                </c:pt>
                <c:pt idx="1">
                  <c:v>-9.9671757911199084</c:v>
                </c:pt>
                <c:pt idx="2">
                  <c:v>-6.8784748305170007</c:v>
                </c:pt>
                <c:pt idx="3">
                  <c:v>-0.39517579426081584</c:v>
                </c:pt>
                <c:pt idx="4">
                  <c:v>0.67606181401180798</c:v>
                </c:pt>
                <c:pt idx="5">
                  <c:v>1.4456838233321889</c:v>
                </c:pt>
                <c:pt idx="6">
                  <c:v>3.2333454377969861</c:v>
                </c:pt>
                <c:pt idx="7">
                  <c:v>3.8650452987731621</c:v>
                </c:pt>
                <c:pt idx="8">
                  <c:v>11.452070396300895</c:v>
                </c:pt>
                <c:pt idx="9">
                  <c:v>12.105027356746433</c:v>
                </c:pt>
                <c:pt idx="10">
                  <c:v>19.289196709198244</c:v>
                </c:pt>
                <c:pt idx="11">
                  <c:v>19.799103206795031</c:v>
                </c:pt>
                <c:pt idx="12">
                  <c:v>24.822039739357884</c:v>
                </c:pt>
                <c:pt idx="13">
                  <c:v>30.120203328177109</c:v>
                </c:pt>
                <c:pt idx="14">
                  <c:v>34.898733634407186</c:v>
                </c:pt>
                <c:pt idx="15">
                  <c:v>40.174450578072211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95904"/>
        <c:axId val="164797440"/>
      </c:barChart>
      <c:catAx>
        <c:axId val="16479590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4797440"/>
        <c:crosses val="autoZero"/>
        <c:auto val="1"/>
        <c:lblAlgn val="ctr"/>
        <c:lblOffset val="100"/>
        <c:noMultiLvlLbl val="0"/>
      </c:catAx>
      <c:valAx>
        <c:axId val="164797440"/>
        <c:scaling>
          <c:orientation val="minMax"/>
          <c:max val="42"/>
          <c:min val="-2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4795904"/>
        <c:crosses val="max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74747474747473"/>
          <c:y val="2.4257580576759967E-2"/>
          <c:w val="0.56189610389610389"/>
          <c:h val="0.920732877438507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cat>
            <c:strRef>
              <c:f>'Chart data'!$AE$38:$AE$53</c:f>
              <c:strCache>
                <c:ptCount val="16"/>
                <c:pt idx="0">
                  <c:v>Aurora Energy</c:v>
                </c:pt>
                <c:pt idx="1">
                  <c:v>Centralines</c:v>
                </c:pt>
                <c:pt idx="2">
                  <c:v>Wellington Electricity</c:v>
                </c:pt>
                <c:pt idx="3">
                  <c:v>Vector Lines</c:v>
                </c:pt>
                <c:pt idx="4">
                  <c:v>Unison Networks</c:v>
                </c:pt>
                <c:pt idx="5">
                  <c:v>Alpine Energy</c:v>
                </c:pt>
                <c:pt idx="6">
                  <c:v>The Lines Company</c:v>
                </c:pt>
                <c:pt idx="7">
                  <c:v>Powerco</c:v>
                </c:pt>
                <c:pt idx="8">
                  <c:v>OtagoNet</c:v>
                </c:pt>
                <c:pt idx="9">
                  <c:v>Network Tasman</c:v>
                </c:pt>
                <c:pt idx="10">
                  <c:v>Eastland Network</c:v>
                </c:pt>
                <c:pt idx="11">
                  <c:v>Horizon Energy</c:v>
                </c:pt>
                <c:pt idx="12">
                  <c:v>Top Energy</c:v>
                </c:pt>
                <c:pt idx="13">
                  <c:v>Electricity Invercargill</c:v>
                </c:pt>
                <c:pt idx="14">
                  <c:v>Electricity Ashburton</c:v>
                </c:pt>
                <c:pt idx="15">
                  <c:v>Nelson Electricity</c:v>
                </c:pt>
              </c:strCache>
            </c:strRef>
          </c:cat>
          <c:val>
            <c:numRef>
              <c:f>'Chart data'!$AF$38:$AF$53</c:f>
              <c:numCache>
                <c:formatCode>_(* #,##0.0_);_(* \(#,##0.0\);_(* "–"???_);_(* @_)</c:formatCode>
                <c:ptCount val="16"/>
                <c:pt idx="0">
                  <c:v>-23.861871608714445</c:v>
                </c:pt>
                <c:pt idx="1">
                  <c:v>-21.702802468783755</c:v>
                </c:pt>
                <c:pt idx="2">
                  <c:v>-14.874151957721693</c:v>
                </c:pt>
                <c:pt idx="3">
                  <c:v>-11.18212374009353</c:v>
                </c:pt>
                <c:pt idx="4">
                  <c:v>-8.467590444197338</c:v>
                </c:pt>
                <c:pt idx="5">
                  <c:v>-7.0549152929951013</c:v>
                </c:pt>
                <c:pt idx="6">
                  <c:v>5.1647501131611762</c:v>
                </c:pt>
                <c:pt idx="7">
                  <c:v>12.560106659282733</c:v>
                </c:pt>
                <c:pt idx="8">
                  <c:v>29.782858604086293</c:v>
                </c:pt>
                <c:pt idx="9">
                  <c:v>37.121576056469152</c:v>
                </c:pt>
                <c:pt idx="10">
                  <c:v>56.160809168014467</c:v>
                </c:pt>
                <c:pt idx="11">
                  <c:v>58.141783213752248</c:v>
                </c:pt>
                <c:pt idx="12">
                  <c:v>62.035342164642728</c:v>
                </c:pt>
                <c:pt idx="13">
                  <c:v>67.839211183667686</c:v>
                </c:pt>
                <c:pt idx="14">
                  <c:v>71.068521941466003</c:v>
                </c:pt>
                <c:pt idx="15">
                  <c:v>193.10126436075464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817152"/>
        <c:axId val="164634624"/>
      </c:barChart>
      <c:catAx>
        <c:axId val="164817152"/>
        <c:scaling>
          <c:orientation val="maxMin"/>
        </c:scaling>
        <c:delete val="0"/>
        <c:axPos val="l"/>
        <c:majorTickMark val="out"/>
        <c:minorTickMark val="none"/>
        <c:tickLblPos val="low"/>
        <c:crossAx val="164634624"/>
        <c:crosses val="autoZero"/>
        <c:auto val="1"/>
        <c:lblAlgn val="ctr"/>
        <c:lblOffset val="100"/>
        <c:noMultiLvlLbl val="0"/>
      </c:catAx>
      <c:valAx>
        <c:axId val="164634624"/>
        <c:scaling>
          <c:orientation val="minMax"/>
          <c:max val="200"/>
          <c:min val="-5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64817152"/>
        <c:crosses val="max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'Chart data'!$L$57:$L$58</c:f>
              <c:strCache>
                <c:ptCount val="2"/>
                <c:pt idx="0">
                  <c:v>PQR Total</c:v>
                </c:pt>
                <c:pt idx="1">
                  <c:v>ID only</c:v>
                </c:pt>
              </c:strCache>
            </c:strRef>
          </c:cat>
          <c:val>
            <c:numRef>
              <c:f>'Chart data'!$M$57:$M$58</c:f>
              <c:numCache>
                <c:formatCode>_(* #,##0.0_);_(* \(#,##0.0\);_(* "–"???_);_(* @_)</c:formatCode>
                <c:ptCount val="2"/>
                <c:pt idx="0">
                  <c:v>23.947097190756384</c:v>
                </c:pt>
                <c:pt idx="1">
                  <c:v>35.977458095447389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61120"/>
        <c:axId val="164662656"/>
      </c:barChart>
      <c:catAx>
        <c:axId val="164661120"/>
        <c:scaling>
          <c:orientation val="maxMin"/>
        </c:scaling>
        <c:delete val="0"/>
        <c:axPos val="b"/>
        <c:majorTickMark val="none"/>
        <c:minorTickMark val="none"/>
        <c:tickLblPos val="none"/>
        <c:crossAx val="164662656"/>
        <c:crosses val="autoZero"/>
        <c:auto val="1"/>
        <c:lblAlgn val="ctr"/>
        <c:lblOffset val="100"/>
        <c:noMultiLvlLbl val="0"/>
      </c:catAx>
      <c:valAx>
        <c:axId val="1646626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4661120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data'!$G$4</c:f>
              <c:strCache>
                <c:ptCount val="1"/>
                <c:pt idx="0">
                  <c:v>Default price-quality path</c:v>
                </c:pt>
              </c:strCache>
            </c:strRef>
          </c:tx>
          <c:spPr>
            <a:solidFill>
              <a:srgbClr val="3E8A92"/>
            </a:solidFill>
          </c:spPr>
          <c:invertIfNegative val="0"/>
          <c:cat>
            <c:strRef>
              <c:f>'Chart data'!$F$5:$F$33</c:f>
              <c:strCache>
                <c:ptCount val="29"/>
                <c:pt idx="0">
                  <c:v>The Lines Company</c:v>
                </c:pt>
                <c:pt idx="1">
                  <c:v>OtagoNet</c:v>
                </c:pt>
                <c:pt idx="2">
                  <c:v>Centralines</c:v>
                </c:pt>
                <c:pt idx="3">
                  <c:v>Electricity Ashburton</c:v>
                </c:pt>
                <c:pt idx="4">
                  <c:v>Eastland Network</c:v>
                </c:pt>
                <c:pt idx="5">
                  <c:v>Alpine Energy</c:v>
                </c:pt>
                <c:pt idx="6">
                  <c:v>Unison Networks</c:v>
                </c:pt>
                <c:pt idx="7">
                  <c:v>Buller Electricity</c:v>
                </c:pt>
                <c:pt idx="8">
                  <c:v>MainPower NZ</c:v>
                </c:pt>
                <c:pt idx="9">
                  <c:v>Network Waitaki</c:v>
                </c:pt>
                <c:pt idx="10">
                  <c:v>The Power Company</c:v>
                </c:pt>
                <c:pt idx="11">
                  <c:v>Vector Lines</c:v>
                </c:pt>
                <c:pt idx="12">
                  <c:v>Electra</c:v>
                </c:pt>
                <c:pt idx="13">
                  <c:v>Aurora Energy</c:v>
                </c:pt>
                <c:pt idx="14">
                  <c:v>Orion NZ</c:v>
                </c:pt>
                <c:pt idx="15">
                  <c:v>Westpower</c:v>
                </c:pt>
                <c:pt idx="16">
                  <c:v>Network Tasman</c:v>
                </c:pt>
                <c:pt idx="17">
                  <c:v>WEL Networks</c:v>
                </c:pt>
                <c:pt idx="18">
                  <c:v>Nelson Electricity</c:v>
                </c:pt>
                <c:pt idx="19">
                  <c:v>Electricity Invercargill</c:v>
                </c:pt>
                <c:pt idx="20">
                  <c:v>Powerco</c:v>
                </c:pt>
                <c:pt idx="21">
                  <c:v>Scanpower</c:v>
                </c:pt>
                <c:pt idx="22">
                  <c:v>Horizon Energy</c:v>
                </c:pt>
                <c:pt idx="23">
                  <c:v>Top Energy</c:v>
                </c:pt>
                <c:pt idx="24">
                  <c:v>Counties Power</c:v>
                </c:pt>
                <c:pt idx="25">
                  <c:v>Waipa Network</c:v>
                </c:pt>
                <c:pt idx="26">
                  <c:v>Northpower</c:v>
                </c:pt>
                <c:pt idx="27">
                  <c:v>Wellington Electricity</c:v>
                </c:pt>
                <c:pt idx="28">
                  <c:v>Marlborough Lines</c:v>
                </c:pt>
              </c:strCache>
            </c:strRef>
          </c:cat>
          <c:val>
            <c:numRef>
              <c:f>'Chart data'!$G$5:$G$33</c:f>
              <c:numCache>
                <c:formatCode>_(* #,##0.0_);_(* \(#,##0.0\);_(* "–"???_);_(* @_)</c:formatCode>
                <c:ptCount val="29"/>
                <c:pt idx="0">
                  <c:v>39.780186821643035</c:v>
                </c:pt>
                <c:pt idx="1">
                  <c:v>35.495740053923441</c:v>
                </c:pt>
                <c:pt idx="2">
                  <c:v>34.872881789683419</c:v>
                </c:pt>
                <c:pt idx="3">
                  <c:v>30.387775741224665</c:v>
                </c:pt>
                <c:pt idx="4">
                  <c:v>29.347533745070219</c:v>
                </c:pt>
                <c:pt idx="5">
                  <c:v>29.046201592928167</c:v>
                </c:pt>
                <c:pt idx="6">
                  <c:v>27.453156880651175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15.116302809212613</c:v>
                </c:pt>
                <c:pt idx="12">
                  <c:v>0</c:v>
                </c:pt>
                <c:pt idx="13">
                  <c:v>13.448372538167487</c:v>
                </c:pt>
                <c:pt idx="14">
                  <c:v>0</c:v>
                </c:pt>
                <c:pt idx="15">
                  <c:v>0</c:v>
                </c:pt>
                <c:pt idx="16">
                  <c:v>9.0679530148082055</c:v>
                </c:pt>
                <c:pt idx="17">
                  <c:v>0</c:v>
                </c:pt>
                <c:pt idx="18">
                  <c:v>8.5108585932925251</c:v>
                </c:pt>
                <c:pt idx="19">
                  <c:v>7.9952780278018887</c:v>
                </c:pt>
                <c:pt idx="20">
                  <c:v>7.7598265734194483</c:v>
                </c:pt>
                <c:pt idx="21">
                  <c:v>0</c:v>
                </c:pt>
                <c:pt idx="22">
                  <c:v>6.522656654355008</c:v>
                </c:pt>
                <c:pt idx="23">
                  <c:v>5.5900157116412608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-6.9076725131581469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data'!$H$4</c:f>
              <c:strCache>
                <c:ptCount val="1"/>
                <c:pt idx="0">
                  <c:v>Information disclosure only</c:v>
                </c:pt>
              </c:strCache>
            </c:strRef>
          </c:tx>
          <c:spPr>
            <a:solidFill>
              <a:srgbClr val="B0A978"/>
            </a:solidFill>
          </c:spPr>
          <c:invertIfNegative val="0"/>
          <c:cat>
            <c:strRef>
              <c:f>'Chart data'!$F$5:$F$33</c:f>
              <c:strCache>
                <c:ptCount val="29"/>
                <c:pt idx="0">
                  <c:v>The Lines Company</c:v>
                </c:pt>
                <c:pt idx="1">
                  <c:v>OtagoNet</c:v>
                </c:pt>
                <c:pt idx="2">
                  <c:v>Centralines</c:v>
                </c:pt>
                <c:pt idx="3">
                  <c:v>Electricity Ashburton</c:v>
                </c:pt>
                <c:pt idx="4">
                  <c:v>Eastland Network</c:v>
                </c:pt>
                <c:pt idx="5">
                  <c:v>Alpine Energy</c:v>
                </c:pt>
                <c:pt idx="6">
                  <c:v>Unison Networks</c:v>
                </c:pt>
                <c:pt idx="7">
                  <c:v>Buller Electricity</c:v>
                </c:pt>
                <c:pt idx="8">
                  <c:v>MainPower NZ</c:v>
                </c:pt>
                <c:pt idx="9">
                  <c:v>Network Waitaki</c:v>
                </c:pt>
                <c:pt idx="10">
                  <c:v>The Power Company</c:v>
                </c:pt>
                <c:pt idx="11">
                  <c:v>Vector Lines</c:v>
                </c:pt>
                <c:pt idx="12">
                  <c:v>Electra</c:v>
                </c:pt>
                <c:pt idx="13">
                  <c:v>Aurora Energy</c:v>
                </c:pt>
                <c:pt idx="14">
                  <c:v>Orion NZ</c:v>
                </c:pt>
                <c:pt idx="15">
                  <c:v>Westpower</c:v>
                </c:pt>
                <c:pt idx="16">
                  <c:v>Network Tasman</c:v>
                </c:pt>
                <c:pt idx="17">
                  <c:v>WEL Networks</c:v>
                </c:pt>
                <c:pt idx="18">
                  <c:v>Nelson Electricity</c:v>
                </c:pt>
                <c:pt idx="19">
                  <c:v>Electricity Invercargill</c:v>
                </c:pt>
                <c:pt idx="20">
                  <c:v>Powerco</c:v>
                </c:pt>
                <c:pt idx="21">
                  <c:v>Scanpower</c:v>
                </c:pt>
                <c:pt idx="22">
                  <c:v>Horizon Energy</c:v>
                </c:pt>
                <c:pt idx="23">
                  <c:v>Top Energy</c:v>
                </c:pt>
                <c:pt idx="24">
                  <c:v>Counties Power</c:v>
                </c:pt>
                <c:pt idx="25">
                  <c:v>Waipa Network</c:v>
                </c:pt>
                <c:pt idx="26">
                  <c:v>Northpower</c:v>
                </c:pt>
                <c:pt idx="27">
                  <c:v>Wellington Electricity</c:v>
                </c:pt>
                <c:pt idx="28">
                  <c:v>Marlborough Lines</c:v>
                </c:pt>
              </c:strCache>
            </c:strRef>
          </c:cat>
          <c:val>
            <c:numRef>
              <c:f>'Chart data'!$H$5:$H$33</c:f>
              <c:numCache>
                <c:formatCode>_(* #,##0.0_);_(* \(#,##0.0\);_(* "–"???_);_(* @_)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25.115656928868859</c:v>
                </c:pt>
                <c:pt idx="8">
                  <c:v>23.950454478318584</c:v>
                </c:pt>
                <c:pt idx="9">
                  <c:v>23.083485451960041</c:v>
                </c:pt>
                <c:pt idx="10">
                  <c:v>20.203193471806237</c:v>
                </c:pt>
                <c:pt idx="11">
                  <c:v>0</c:v>
                </c:pt>
                <c:pt idx="12">
                  <c:v>14.736971165506386</c:v>
                </c:pt>
                <c:pt idx="13">
                  <c:v>0</c:v>
                </c:pt>
                <c:pt idx="14">
                  <c:v>0</c:v>
                </c:pt>
                <c:pt idx="15">
                  <c:v>9.3159735418259171</c:v>
                </c:pt>
                <c:pt idx="16">
                  <c:v>0</c:v>
                </c:pt>
                <c:pt idx="17">
                  <c:v>8.5523689228857549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7.0653130024762367</c:v>
                </c:pt>
                <c:pt idx="22">
                  <c:v>0</c:v>
                </c:pt>
                <c:pt idx="23">
                  <c:v>0</c:v>
                </c:pt>
                <c:pt idx="24">
                  <c:v>4.6586055520124514</c:v>
                </c:pt>
                <c:pt idx="25">
                  <c:v>-2.2034303221174278</c:v>
                </c:pt>
                <c:pt idx="26">
                  <c:v>-2.3148134545038279</c:v>
                </c:pt>
                <c:pt idx="27">
                  <c:v>0</c:v>
                </c:pt>
                <c:pt idx="28">
                  <c:v>-22.358772964125151</c:v>
                </c:pt>
              </c:numCache>
            </c:numRef>
          </c:val>
        </c:ser>
        <c:ser>
          <c:idx val="2"/>
          <c:order val="2"/>
          <c:tx>
            <c:strRef>
              <c:f>'Chart data'!$I$4</c:f>
              <c:strCache>
                <c:ptCount val="1"/>
                <c:pt idx="0">
                  <c:v>Customised price-quality path</c:v>
                </c:pt>
              </c:strCache>
            </c:strRef>
          </c:tx>
          <c:spPr>
            <a:solidFill>
              <a:srgbClr val="D97E55"/>
            </a:solidFill>
          </c:spPr>
          <c:invertIfNegative val="0"/>
          <c:cat>
            <c:strRef>
              <c:f>'Chart data'!$F$5:$F$33</c:f>
              <c:strCache>
                <c:ptCount val="29"/>
                <c:pt idx="0">
                  <c:v>The Lines Company</c:v>
                </c:pt>
                <c:pt idx="1">
                  <c:v>OtagoNet</c:v>
                </c:pt>
                <c:pt idx="2">
                  <c:v>Centralines</c:v>
                </c:pt>
                <c:pt idx="3">
                  <c:v>Electricity Ashburton</c:v>
                </c:pt>
                <c:pt idx="4">
                  <c:v>Eastland Network</c:v>
                </c:pt>
                <c:pt idx="5">
                  <c:v>Alpine Energy</c:v>
                </c:pt>
                <c:pt idx="6">
                  <c:v>Unison Networks</c:v>
                </c:pt>
                <c:pt idx="7">
                  <c:v>Buller Electricity</c:v>
                </c:pt>
                <c:pt idx="8">
                  <c:v>MainPower NZ</c:v>
                </c:pt>
                <c:pt idx="9">
                  <c:v>Network Waitaki</c:v>
                </c:pt>
                <c:pt idx="10">
                  <c:v>The Power Company</c:v>
                </c:pt>
                <c:pt idx="11">
                  <c:v>Vector Lines</c:v>
                </c:pt>
                <c:pt idx="12">
                  <c:v>Electra</c:v>
                </c:pt>
                <c:pt idx="13">
                  <c:v>Aurora Energy</c:v>
                </c:pt>
                <c:pt idx="14">
                  <c:v>Orion NZ</c:v>
                </c:pt>
                <c:pt idx="15">
                  <c:v>Westpower</c:v>
                </c:pt>
                <c:pt idx="16">
                  <c:v>Network Tasman</c:v>
                </c:pt>
                <c:pt idx="17">
                  <c:v>WEL Networks</c:v>
                </c:pt>
                <c:pt idx="18">
                  <c:v>Nelson Electricity</c:v>
                </c:pt>
                <c:pt idx="19">
                  <c:v>Electricity Invercargill</c:v>
                </c:pt>
                <c:pt idx="20">
                  <c:v>Powerco</c:v>
                </c:pt>
                <c:pt idx="21">
                  <c:v>Scanpower</c:v>
                </c:pt>
                <c:pt idx="22">
                  <c:v>Horizon Energy</c:v>
                </c:pt>
                <c:pt idx="23">
                  <c:v>Top Energy</c:v>
                </c:pt>
                <c:pt idx="24">
                  <c:v>Counties Power</c:v>
                </c:pt>
                <c:pt idx="25">
                  <c:v>Waipa Network</c:v>
                </c:pt>
                <c:pt idx="26">
                  <c:v>Northpower</c:v>
                </c:pt>
                <c:pt idx="27">
                  <c:v>Wellington Electricity</c:v>
                </c:pt>
                <c:pt idx="28">
                  <c:v>Marlborough Lines</c:v>
                </c:pt>
              </c:strCache>
            </c:strRef>
          </c:cat>
          <c:val>
            <c:numRef>
              <c:f>'Chart data'!$I$5:$I$33</c:f>
              <c:numCache>
                <c:formatCode>_(* #,##0.0_);_(* \(#,##0.0\);_(* "–"???_);_(* @_)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13.065027604569179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172736"/>
        <c:axId val="165174272"/>
      </c:barChart>
      <c:catAx>
        <c:axId val="165172736"/>
        <c:scaling>
          <c:orientation val="maxMin"/>
        </c:scaling>
        <c:delete val="0"/>
        <c:axPos val="l"/>
        <c:majorTickMark val="none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5174272"/>
        <c:crosses val="autoZero"/>
        <c:auto val="1"/>
        <c:lblAlgn val="ctr"/>
        <c:lblOffset val="100"/>
        <c:noMultiLvlLbl val="0"/>
      </c:catAx>
      <c:valAx>
        <c:axId val="165174272"/>
        <c:scaling>
          <c:orientation val="minMax"/>
          <c:max val="40"/>
          <c:min val="-4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51727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6229307242465141"/>
          <c:y val="0.79153815513626835"/>
          <c:w val="0.32056792622582098"/>
          <c:h val="0.1251415094339622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data'!$P$4</c:f>
              <c:strCache>
                <c:ptCount val="1"/>
                <c:pt idx="0">
                  <c:v>Default price-quality path</c:v>
                </c:pt>
              </c:strCache>
            </c:strRef>
          </c:tx>
          <c:spPr>
            <a:solidFill>
              <a:srgbClr val="3E8A92"/>
            </a:solidFill>
          </c:spPr>
          <c:invertIfNegative val="0"/>
          <c:cat>
            <c:strRef>
              <c:f>'Chart data'!$O$5:$O$33</c:f>
              <c:strCache>
                <c:ptCount val="29"/>
                <c:pt idx="0">
                  <c:v>Nelson Electricity</c:v>
                </c:pt>
                <c:pt idx="1">
                  <c:v>MainPower NZ</c:v>
                </c:pt>
                <c:pt idx="2">
                  <c:v>Top Energy</c:v>
                </c:pt>
                <c:pt idx="3">
                  <c:v>Network Tasman</c:v>
                </c:pt>
                <c:pt idx="4">
                  <c:v>Eastland Network</c:v>
                </c:pt>
                <c:pt idx="5">
                  <c:v>Scanpower</c:v>
                </c:pt>
                <c:pt idx="6">
                  <c:v>Counties Power</c:v>
                </c:pt>
                <c:pt idx="7">
                  <c:v>Orion NZ</c:v>
                </c:pt>
                <c:pt idx="8">
                  <c:v>Electricity Invercargill</c:v>
                </c:pt>
                <c:pt idx="9">
                  <c:v>Horizon Energy</c:v>
                </c:pt>
                <c:pt idx="10">
                  <c:v>Alpine Energy</c:v>
                </c:pt>
                <c:pt idx="11">
                  <c:v>Northpower</c:v>
                </c:pt>
                <c:pt idx="12">
                  <c:v>Waipa Network</c:v>
                </c:pt>
                <c:pt idx="13">
                  <c:v>Network Waitaki</c:v>
                </c:pt>
                <c:pt idx="14">
                  <c:v>OtagoNet</c:v>
                </c:pt>
                <c:pt idx="15">
                  <c:v>Buller Electricity</c:v>
                </c:pt>
                <c:pt idx="16">
                  <c:v>WEL Networks</c:v>
                </c:pt>
                <c:pt idx="17">
                  <c:v>The Power Company</c:v>
                </c:pt>
                <c:pt idx="18">
                  <c:v>Powerco</c:v>
                </c:pt>
                <c:pt idx="19">
                  <c:v>Electricity Ashburton</c:v>
                </c:pt>
                <c:pt idx="20">
                  <c:v>Vector Lines</c:v>
                </c:pt>
                <c:pt idx="21">
                  <c:v>The Lines Company</c:v>
                </c:pt>
                <c:pt idx="22">
                  <c:v>Unison Networks</c:v>
                </c:pt>
                <c:pt idx="23">
                  <c:v>Wellington Electricity</c:v>
                </c:pt>
                <c:pt idx="24">
                  <c:v>Electra</c:v>
                </c:pt>
                <c:pt idx="25">
                  <c:v>Aurora Energy</c:v>
                </c:pt>
                <c:pt idx="26">
                  <c:v>Marlborough Lines</c:v>
                </c:pt>
                <c:pt idx="27">
                  <c:v>Centralines</c:v>
                </c:pt>
                <c:pt idx="28">
                  <c:v>Westpower</c:v>
                </c:pt>
              </c:strCache>
            </c:strRef>
          </c:cat>
          <c:val>
            <c:numRef>
              <c:f>'Chart data'!$P$5:$P$33</c:f>
              <c:numCache>
                <c:formatCode>_(* #,##0.0_);_(* \(#,##0.0\);_(* "–"???_);_(* @_)</c:formatCode>
                <c:ptCount val="29"/>
                <c:pt idx="0">
                  <c:v>345.42350535163189</c:v>
                </c:pt>
                <c:pt idx="1">
                  <c:v>0</c:v>
                </c:pt>
                <c:pt idx="2">
                  <c:v>103.28695762809912</c:v>
                </c:pt>
                <c:pt idx="3">
                  <c:v>96.155539313774938</c:v>
                </c:pt>
                <c:pt idx="4">
                  <c:v>91.411891957254497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70.174030970542091</c:v>
                </c:pt>
                <c:pt idx="9">
                  <c:v>69.939336148796812</c:v>
                </c:pt>
                <c:pt idx="10">
                  <c:v>59.670393482394466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39.797740843169493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25.497410023117762</c:v>
                </c:pt>
                <c:pt idx="19">
                  <c:v>25.204380379628887</c:v>
                </c:pt>
                <c:pt idx="20">
                  <c:v>17.827738541378977</c:v>
                </c:pt>
                <c:pt idx="21">
                  <c:v>11.277323029744114</c:v>
                </c:pt>
                <c:pt idx="22">
                  <c:v>10.829479922586248</c:v>
                </c:pt>
                <c:pt idx="23">
                  <c:v>3.5878454241121238</c:v>
                </c:pt>
                <c:pt idx="24">
                  <c:v>0</c:v>
                </c:pt>
                <c:pt idx="25">
                  <c:v>2.5139545012709652</c:v>
                </c:pt>
                <c:pt idx="26">
                  <c:v>0</c:v>
                </c:pt>
                <c:pt idx="27">
                  <c:v>-34.158959604192972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'Chart data'!$Q$4</c:f>
              <c:strCache>
                <c:ptCount val="1"/>
                <c:pt idx="0">
                  <c:v>Information disclosure only</c:v>
                </c:pt>
              </c:strCache>
            </c:strRef>
          </c:tx>
          <c:spPr>
            <a:solidFill>
              <a:srgbClr val="B0A978"/>
            </a:solidFill>
          </c:spPr>
          <c:invertIfNegative val="0"/>
          <c:cat>
            <c:strRef>
              <c:f>'Chart data'!$O$5:$O$33</c:f>
              <c:strCache>
                <c:ptCount val="29"/>
                <c:pt idx="0">
                  <c:v>Nelson Electricity</c:v>
                </c:pt>
                <c:pt idx="1">
                  <c:v>MainPower NZ</c:v>
                </c:pt>
                <c:pt idx="2">
                  <c:v>Top Energy</c:v>
                </c:pt>
                <c:pt idx="3">
                  <c:v>Network Tasman</c:v>
                </c:pt>
                <c:pt idx="4">
                  <c:v>Eastland Network</c:v>
                </c:pt>
                <c:pt idx="5">
                  <c:v>Scanpower</c:v>
                </c:pt>
                <c:pt idx="6">
                  <c:v>Counties Power</c:v>
                </c:pt>
                <c:pt idx="7">
                  <c:v>Orion NZ</c:v>
                </c:pt>
                <c:pt idx="8">
                  <c:v>Electricity Invercargill</c:v>
                </c:pt>
                <c:pt idx="9">
                  <c:v>Horizon Energy</c:v>
                </c:pt>
                <c:pt idx="10">
                  <c:v>Alpine Energy</c:v>
                </c:pt>
                <c:pt idx="11">
                  <c:v>Northpower</c:v>
                </c:pt>
                <c:pt idx="12">
                  <c:v>Waipa Network</c:v>
                </c:pt>
                <c:pt idx="13">
                  <c:v>Network Waitaki</c:v>
                </c:pt>
                <c:pt idx="14">
                  <c:v>OtagoNet</c:v>
                </c:pt>
                <c:pt idx="15">
                  <c:v>Buller Electricity</c:v>
                </c:pt>
                <c:pt idx="16">
                  <c:v>WEL Networks</c:v>
                </c:pt>
                <c:pt idx="17">
                  <c:v>The Power Company</c:v>
                </c:pt>
                <c:pt idx="18">
                  <c:v>Powerco</c:v>
                </c:pt>
                <c:pt idx="19">
                  <c:v>Electricity Ashburton</c:v>
                </c:pt>
                <c:pt idx="20">
                  <c:v>Vector Lines</c:v>
                </c:pt>
                <c:pt idx="21">
                  <c:v>The Lines Company</c:v>
                </c:pt>
                <c:pt idx="22">
                  <c:v>Unison Networks</c:v>
                </c:pt>
                <c:pt idx="23">
                  <c:v>Wellington Electricity</c:v>
                </c:pt>
                <c:pt idx="24">
                  <c:v>Electra</c:v>
                </c:pt>
                <c:pt idx="25">
                  <c:v>Aurora Energy</c:v>
                </c:pt>
                <c:pt idx="26">
                  <c:v>Marlborough Lines</c:v>
                </c:pt>
                <c:pt idx="27">
                  <c:v>Centralines</c:v>
                </c:pt>
                <c:pt idx="28">
                  <c:v>Westpower</c:v>
                </c:pt>
              </c:strCache>
            </c:strRef>
          </c:cat>
          <c:val>
            <c:numRef>
              <c:f>'Chart data'!$Q$5:$Q$33</c:f>
              <c:numCache>
                <c:formatCode>_(* #,##0.0_);_(* \(#,##0.0\);_(* "–"???_);_(* @_)</c:formatCode>
                <c:ptCount val="29"/>
                <c:pt idx="0">
                  <c:v>0</c:v>
                </c:pt>
                <c:pt idx="1">
                  <c:v>109.99133119952936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82.757522980719571</c:v>
                </c:pt>
                <c:pt idx="6">
                  <c:v>75.17964951135572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47.358204613319984</c:v>
                </c:pt>
                <c:pt idx="12">
                  <c:v>44.06091189058867</c:v>
                </c:pt>
                <c:pt idx="13">
                  <c:v>42.544592243949573</c:v>
                </c:pt>
                <c:pt idx="14">
                  <c:v>0</c:v>
                </c:pt>
                <c:pt idx="15">
                  <c:v>38.070014874355174</c:v>
                </c:pt>
                <c:pt idx="16">
                  <c:v>30.14047193656879</c:v>
                </c:pt>
                <c:pt idx="17">
                  <c:v>28.912201128301529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3.4973151276753933</c:v>
                </c:pt>
                <c:pt idx="25">
                  <c:v>0</c:v>
                </c:pt>
                <c:pt idx="26">
                  <c:v>-8.3516723074337875</c:v>
                </c:pt>
                <c:pt idx="27">
                  <c:v>0</c:v>
                </c:pt>
                <c:pt idx="28">
                  <c:v>-47.823111174818486</c:v>
                </c:pt>
              </c:numCache>
            </c:numRef>
          </c:val>
        </c:ser>
        <c:ser>
          <c:idx val="2"/>
          <c:order val="2"/>
          <c:tx>
            <c:strRef>
              <c:f>'Chart data'!$R$4</c:f>
              <c:strCache>
                <c:ptCount val="1"/>
                <c:pt idx="0">
                  <c:v>Customised price-quality path</c:v>
                </c:pt>
              </c:strCache>
            </c:strRef>
          </c:tx>
          <c:spPr>
            <a:solidFill>
              <a:srgbClr val="D97E55"/>
            </a:solidFill>
          </c:spPr>
          <c:invertIfNegative val="0"/>
          <c:cat>
            <c:strRef>
              <c:f>'Chart data'!$O$5:$O$33</c:f>
              <c:strCache>
                <c:ptCount val="29"/>
                <c:pt idx="0">
                  <c:v>Nelson Electricity</c:v>
                </c:pt>
                <c:pt idx="1">
                  <c:v>MainPower NZ</c:v>
                </c:pt>
                <c:pt idx="2">
                  <c:v>Top Energy</c:v>
                </c:pt>
                <c:pt idx="3">
                  <c:v>Network Tasman</c:v>
                </c:pt>
                <c:pt idx="4">
                  <c:v>Eastland Network</c:v>
                </c:pt>
                <c:pt idx="5">
                  <c:v>Scanpower</c:v>
                </c:pt>
                <c:pt idx="6">
                  <c:v>Counties Power</c:v>
                </c:pt>
                <c:pt idx="7">
                  <c:v>Orion NZ</c:v>
                </c:pt>
                <c:pt idx="8">
                  <c:v>Electricity Invercargill</c:v>
                </c:pt>
                <c:pt idx="9">
                  <c:v>Horizon Energy</c:v>
                </c:pt>
                <c:pt idx="10">
                  <c:v>Alpine Energy</c:v>
                </c:pt>
                <c:pt idx="11">
                  <c:v>Northpower</c:v>
                </c:pt>
                <c:pt idx="12">
                  <c:v>Waipa Network</c:v>
                </c:pt>
                <c:pt idx="13">
                  <c:v>Network Waitaki</c:v>
                </c:pt>
                <c:pt idx="14">
                  <c:v>OtagoNet</c:v>
                </c:pt>
                <c:pt idx="15">
                  <c:v>Buller Electricity</c:v>
                </c:pt>
                <c:pt idx="16">
                  <c:v>WEL Networks</c:v>
                </c:pt>
                <c:pt idx="17">
                  <c:v>The Power Company</c:v>
                </c:pt>
                <c:pt idx="18">
                  <c:v>Powerco</c:v>
                </c:pt>
                <c:pt idx="19">
                  <c:v>Electricity Ashburton</c:v>
                </c:pt>
                <c:pt idx="20">
                  <c:v>Vector Lines</c:v>
                </c:pt>
                <c:pt idx="21">
                  <c:v>The Lines Company</c:v>
                </c:pt>
                <c:pt idx="22">
                  <c:v>Unison Networks</c:v>
                </c:pt>
                <c:pt idx="23">
                  <c:v>Wellington Electricity</c:v>
                </c:pt>
                <c:pt idx="24">
                  <c:v>Electra</c:v>
                </c:pt>
                <c:pt idx="25">
                  <c:v>Aurora Energy</c:v>
                </c:pt>
                <c:pt idx="26">
                  <c:v>Marlborough Lines</c:v>
                </c:pt>
                <c:pt idx="27">
                  <c:v>Centralines</c:v>
                </c:pt>
                <c:pt idx="28">
                  <c:v>Westpower</c:v>
                </c:pt>
              </c:strCache>
            </c:strRef>
          </c:cat>
          <c:val>
            <c:numRef>
              <c:f>'Chart data'!$R$5:$R$33</c:f>
              <c:numCache>
                <c:formatCode>_(* #,##0.0_);_(* \(#,##0.0\);_(* "–"???_);_(* @_)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73.62039393048218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085568"/>
        <c:axId val="165087104"/>
      </c:barChart>
      <c:catAx>
        <c:axId val="165085568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165087104"/>
        <c:crosses val="autoZero"/>
        <c:auto val="1"/>
        <c:lblAlgn val="ctr"/>
        <c:lblOffset val="100"/>
        <c:noMultiLvlLbl val="0"/>
      </c:catAx>
      <c:valAx>
        <c:axId val="165087104"/>
        <c:scaling>
          <c:orientation val="minMax"/>
          <c:max val="350"/>
          <c:min val="-5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6508556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63372807017543864"/>
          <c:y val="0.80218805031446538"/>
          <c:w val="0.32056792622582098"/>
          <c:h val="0.1251415094339622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'Chart data'!$C$57:$C$58</c:f>
              <c:strCache>
                <c:ptCount val="2"/>
                <c:pt idx="0">
                  <c:v>PQR Total</c:v>
                </c:pt>
                <c:pt idx="1">
                  <c:v>ID only</c:v>
                </c:pt>
              </c:strCache>
            </c:strRef>
          </c:cat>
          <c:val>
            <c:numRef>
              <c:f>'Chart data'!$D$57:$D$58</c:f>
              <c:numCache>
                <c:formatCode>_(* #,##0.0_);_(* \(#,##0.0\);_(* "–"???_);_(* @_)</c:formatCode>
                <c:ptCount val="2"/>
                <c:pt idx="0">
                  <c:v>14.337012444328433</c:v>
                </c:pt>
                <c:pt idx="1">
                  <c:v>5.6387807535308809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10144"/>
        <c:axId val="165111680"/>
      </c:barChart>
      <c:catAx>
        <c:axId val="165110144"/>
        <c:scaling>
          <c:orientation val="maxMin"/>
        </c:scaling>
        <c:delete val="0"/>
        <c:axPos val="b"/>
        <c:majorTickMark val="none"/>
        <c:minorTickMark val="none"/>
        <c:tickLblPos val="none"/>
        <c:crossAx val="165111680"/>
        <c:crosses val="autoZero"/>
        <c:auto val="1"/>
        <c:lblAlgn val="ctr"/>
        <c:lblOffset val="100"/>
        <c:noMultiLvlLbl val="0"/>
      </c:catAx>
      <c:valAx>
        <c:axId val="165111680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5110144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274747474747473"/>
          <c:y val="2.4257580576759967E-2"/>
          <c:w val="0.56189610389610389"/>
          <c:h val="0.9207328774385071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E8A92"/>
            </a:solidFill>
          </c:spPr>
          <c:invertIfNegative val="0"/>
          <c:cat>
            <c:strRef>
              <c:f>'Chart data'!$AL$38:$AL$53</c:f>
              <c:strCache>
                <c:ptCount val="16"/>
                <c:pt idx="0">
                  <c:v>Nelson Electricity</c:v>
                </c:pt>
                <c:pt idx="1">
                  <c:v>Alpine Energy</c:v>
                </c:pt>
                <c:pt idx="2">
                  <c:v>Network Tasman</c:v>
                </c:pt>
                <c:pt idx="3">
                  <c:v>Horizon Energy</c:v>
                </c:pt>
                <c:pt idx="4">
                  <c:v>OtagoNet</c:v>
                </c:pt>
                <c:pt idx="5">
                  <c:v>Unison Networks</c:v>
                </c:pt>
                <c:pt idx="6">
                  <c:v>Wellington Electricity</c:v>
                </c:pt>
                <c:pt idx="7">
                  <c:v>Aurora Energy</c:v>
                </c:pt>
                <c:pt idx="8">
                  <c:v>Top Energy</c:v>
                </c:pt>
                <c:pt idx="9">
                  <c:v>Electricity Invercargill</c:v>
                </c:pt>
                <c:pt idx="10">
                  <c:v>Powerco</c:v>
                </c:pt>
                <c:pt idx="11">
                  <c:v>Vector Lines</c:v>
                </c:pt>
                <c:pt idx="12">
                  <c:v>The Lines Company</c:v>
                </c:pt>
                <c:pt idx="13">
                  <c:v>Eastland Network</c:v>
                </c:pt>
                <c:pt idx="14">
                  <c:v>Electricity Ashburton</c:v>
                </c:pt>
                <c:pt idx="15">
                  <c:v>Centralines</c:v>
                </c:pt>
              </c:strCache>
            </c:strRef>
          </c:cat>
          <c:val>
            <c:numRef>
              <c:f>'Chart data'!$AM$38:$AM$53</c:f>
              <c:numCache>
                <c:formatCode>_(* #,##0.0_);_(* \(#,##0.0\);_(* "–"???_);_(* @_)</c:formatCode>
                <c:ptCount val="16"/>
                <c:pt idx="0">
                  <c:v>-67.855919617682218</c:v>
                </c:pt>
                <c:pt idx="1">
                  <c:v>-55.633444956710356</c:v>
                </c:pt>
                <c:pt idx="2">
                  <c:v>-38.225336461398349</c:v>
                </c:pt>
                <c:pt idx="3">
                  <c:v>-28.788165822984404</c:v>
                </c:pt>
                <c:pt idx="4">
                  <c:v>-24.3791716069505</c:v>
                </c:pt>
                <c:pt idx="5">
                  <c:v>-24.184322171036321</c:v>
                </c:pt>
                <c:pt idx="6">
                  <c:v>-23.194332580620557</c:v>
                </c:pt>
                <c:pt idx="7">
                  <c:v>-19.451826472041091</c:v>
                </c:pt>
                <c:pt idx="8">
                  <c:v>-18.147608905269188</c:v>
                </c:pt>
                <c:pt idx="9">
                  <c:v>-17.796636471985373</c:v>
                </c:pt>
                <c:pt idx="10">
                  <c:v>-6.6304240871268849</c:v>
                </c:pt>
                <c:pt idx="11">
                  <c:v>-6.5134173053328919</c:v>
                </c:pt>
                <c:pt idx="12">
                  <c:v>-1.9885160432700277</c:v>
                </c:pt>
                <c:pt idx="13">
                  <c:v>-6.5321664794337764E-3</c:v>
                </c:pt>
                <c:pt idx="14">
                  <c:v>3.1889031727778017</c:v>
                </c:pt>
                <c:pt idx="15">
                  <c:v>11.185493575516524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25120"/>
        <c:axId val="165139200"/>
      </c:barChart>
      <c:catAx>
        <c:axId val="165125120"/>
        <c:scaling>
          <c:orientation val="maxMin"/>
        </c:scaling>
        <c:delete val="0"/>
        <c:axPos val="l"/>
        <c:majorTickMark val="out"/>
        <c:minorTickMark val="none"/>
        <c:tickLblPos val="low"/>
        <c:crossAx val="165139200"/>
        <c:crosses val="autoZero"/>
        <c:auto val="1"/>
        <c:lblAlgn val="ctr"/>
        <c:lblOffset val="100"/>
        <c:noMultiLvlLbl val="0"/>
      </c:catAx>
      <c:valAx>
        <c:axId val="165139200"/>
        <c:scaling>
          <c:orientation val="minMax"/>
          <c:max val="100"/>
          <c:min val="-100"/>
        </c:scaling>
        <c:delete val="0"/>
        <c:axPos val="b"/>
        <c:majorGridlines>
          <c:spPr>
            <a:ln w="6350">
              <a:solidFill>
                <a:schemeClr val="accent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65125120"/>
        <c:crosses val="max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2209800</xdr:rowOff>
    </xdr:from>
    <xdr:to>
      <xdr:col>4</xdr:col>
      <xdr:colOff>0</xdr:colOff>
      <xdr:row>14</xdr:row>
      <xdr:rowOff>95250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8982075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1</xdr:row>
      <xdr:rowOff>38100</xdr:rowOff>
    </xdr:from>
    <xdr:to>
      <xdr:col>1</xdr:col>
      <xdr:colOff>1216152</xdr:colOff>
      <xdr:row>1</xdr:row>
      <xdr:rowOff>888492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28600"/>
          <a:ext cx="2816352" cy="8503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602192</xdr:colOff>
      <xdr:row>4</xdr:row>
      <xdr:rowOff>2115</xdr:rowOff>
    </xdr:from>
    <xdr:to>
      <xdr:col>1</xdr:col>
      <xdr:colOff>2760359</xdr:colOff>
      <xdr:row>23</xdr:row>
      <xdr:rowOff>155415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</xdr:row>
      <xdr:rowOff>0</xdr:rowOff>
    </xdr:from>
    <xdr:to>
      <xdr:col>2</xdr:col>
      <xdr:colOff>2772000</xdr:colOff>
      <xdr:row>23</xdr:row>
      <xdr:rowOff>153300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3</xdr:col>
      <xdr:colOff>2772000</xdr:colOff>
      <xdr:row>23</xdr:row>
      <xdr:rowOff>153300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4</xdr:row>
      <xdr:rowOff>0</xdr:rowOff>
    </xdr:from>
    <xdr:to>
      <xdr:col>4</xdr:col>
      <xdr:colOff>2772000</xdr:colOff>
      <xdr:row>23</xdr:row>
      <xdr:rowOff>153300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28</xdr:row>
      <xdr:rowOff>0</xdr:rowOff>
    </xdr:from>
    <xdr:to>
      <xdr:col>2</xdr:col>
      <xdr:colOff>4297891</xdr:colOff>
      <xdr:row>45</xdr:row>
      <xdr:rowOff>1500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602191</xdr:colOff>
      <xdr:row>49</xdr:row>
      <xdr:rowOff>2115</xdr:rowOff>
    </xdr:from>
    <xdr:to>
      <xdr:col>2</xdr:col>
      <xdr:colOff>95191</xdr:colOff>
      <xdr:row>74</xdr:row>
      <xdr:rowOff>9615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4329641</xdr:colOff>
      <xdr:row>48</xdr:row>
      <xdr:rowOff>380999</xdr:rowOff>
    </xdr:from>
    <xdr:to>
      <xdr:col>4</xdr:col>
      <xdr:colOff>97308</xdr:colOff>
      <xdr:row>74</xdr:row>
      <xdr:rowOff>7499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</xdr:col>
      <xdr:colOff>4297891</xdr:colOff>
      <xdr:row>45</xdr:row>
      <xdr:rowOff>1500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28</xdr:row>
      <xdr:rowOff>0</xdr:rowOff>
    </xdr:from>
    <xdr:to>
      <xdr:col>4</xdr:col>
      <xdr:colOff>2772000</xdr:colOff>
      <xdr:row>47</xdr:row>
      <xdr:rowOff>153300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7698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Description"/>
      <sheetName val="Table of Contents"/>
      <sheetName val="Inputs for ROI Calc"/>
      <sheetName val="EDB Selector ROI"/>
      <sheetName val="ROI"/>
      <sheetName val="2 Year IRR"/>
      <sheetName val="3 Year IRR "/>
      <sheetName val="5 Year IRR"/>
      <sheetName val="Outputs"/>
    </sheetNames>
    <sheetDataSet>
      <sheetData sheetId="0" refreshError="1"/>
      <sheetData sheetId="1" refreshError="1"/>
      <sheetData sheetId="2" refreshError="1"/>
      <sheetData sheetId="3"/>
      <sheetData sheetId="4">
        <row r="4">
          <cell r="C4" t="str">
            <v>Centralines</v>
          </cell>
        </row>
      </sheetData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Commission Bronze">
  <a:themeElements>
    <a:clrScheme name="Office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EAE8DA"/>
      </a:accent1>
      <a:accent2>
        <a:srgbClr val="D7D3BB"/>
      </a:accent2>
      <a:accent3>
        <a:srgbClr val="C9C4A3"/>
      </a:accent3>
      <a:accent4>
        <a:srgbClr val="B0A978"/>
      </a:accent4>
      <a:accent5>
        <a:srgbClr val="968F58"/>
      </a:accent5>
      <a:accent6>
        <a:srgbClr val="645F3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8"/>
  <sheetViews>
    <sheetView showGridLines="0" tabSelected="1" view="pageBreakPreview" zoomScaleNormal="100" zoomScaleSheetLayoutView="100" workbookViewId="0"/>
  </sheetViews>
  <sheetFormatPr defaultColWidth="9.140625" defaultRowHeight="15" x14ac:dyDescent="0.25"/>
  <cols>
    <col min="1" max="1" width="26.5703125" style="1" customWidth="1"/>
    <col min="2" max="2" width="43.140625" style="1" customWidth="1"/>
    <col min="3" max="3" width="32.7109375" style="1" customWidth="1"/>
    <col min="4" max="4" width="32.28515625" style="1" customWidth="1"/>
    <col min="5" max="16384" width="9.140625" style="1"/>
  </cols>
  <sheetData>
    <row r="1" spans="1:4" ht="15" customHeight="1" x14ac:dyDescent="0.25">
      <c r="A1" s="15"/>
      <c r="B1" s="14"/>
      <c r="C1" s="14"/>
      <c r="D1" s="13"/>
    </row>
    <row r="2" spans="1:4" ht="189" customHeight="1" x14ac:dyDescent="0.25">
      <c r="A2" s="10"/>
      <c r="B2" s="12"/>
      <c r="C2" s="12"/>
      <c r="D2" s="8"/>
    </row>
    <row r="3" spans="1:4" ht="22.5" customHeight="1" x14ac:dyDescent="0.3">
      <c r="A3" s="19" t="s">
        <v>10</v>
      </c>
      <c r="B3" s="6"/>
      <c r="C3" s="6"/>
      <c r="D3" s="5"/>
    </row>
    <row r="4" spans="1:4" ht="22.5" customHeight="1" x14ac:dyDescent="0.3">
      <c r="A4" s="19" t="s">
        <v>184</v>
      </c>
      <c r="B4" s="6"/>
      <c r="C4" s="6"/>
      <c r="D4" s="5"/>
    </row>
    <row r="5" spans="1:4" ht="22.5" customHeight="1" x14ac:dyDescent="0.3">
      <c r="A5" s="19" t="s">
        <v>185</v>
      </c>
      <c r="B5" s="6"/>
      <c r="C5" s="6"/>
      <c r="D5" s="5"/>
    </row>
    <row r="6" spans="1:4" ht="22.5" customHeight="1" x14ac:dyDescent="0.3">
      <c r="A6" s="19"/>
      <c r="B6" s="6"/>
      <c r="C6" s="6"/>
      <c r="D6" s="5"/>
    </row>
    <row r="7" spans="1:4" ht="42" customHeight="1" x14ac:dyDescent="0.25">
      <c r="A7" s="10"/>
      <c r="B7" s="12"/>
      <c r="C7" s="12"/>
      <c r="D7" s="8"/>
    </row>
    <row r="8" spans="1:4" ht="15" customHeight="1" x14ac:dyDescent="0.25">
      <c r="A8" s="10"/>
      <c r="B8" s="9"/>
      <c r="C8" s="9"/>
      <c r="D8" s="11"/>
    </row>
    <row r="9" spans="1:4" ht="15" customHeight="1" x14ac:dyDescent="0.25">
      <c r="A9" s="10"/>
      <c r="B9" s="9"/>
      <c r="C9" s="9"/>
      <c r="D9" s="8"/>
    </row>
    <row r="10" spans="1:4" ht="15" customHeight="1" x14ac:dyDescent="0.25">
      <c r="A10" s="10"/>
      <c r="B10" s="9"/>
      <c r="C10" s="9"/>
      <c r="D10" s="8"/>
    </row>
    <row r="11" spans="1:4" ht="15" customHeight="1" x14ac:dyDescent="0.25">
      <c r="A11" s="10"/>
      <c r="B11" s="9"/>
      <c r="C11" s="9"/>
      <c r="D11" s="8"/>
    </row>
    <row r="12" spans="1:4" ht="15" customHeight="1" x14ac:dyDescent="0.25">
      <c r="A12" s="10"/>
      <c r="B12" s="9"/>
      <c r="C12" s="9"/>
      <c r="D12" s="11"/>
    </row>
    <row r="13" spans="1:4" ht="15" customHeight="1" x14ac:dyDescent="0.25">
      <c r="A13" s="10"/>
      <c r="B13" s="9"/>
      <c r="C13" s="9"/>
      <c r="D13" s="11"/>
    </row>
    <row r="14" spans="1:4" ht="15" customHeight="1" x14ac:dyDescent="0.25">
      <c r="A14" s="10"/>
      <c r="B14" s="9"/>
      <c r="C14" s="9"/>
      <c r="D14" s="8"/>
    </row>
    <row r="15" spans="1:4" ht="15" customHeight="1" x14ac:dyDescent="0.25">
      <c r="A15" s="10"/>
      <c r="B15" s="9"/>
      <c r="C15" s="9"/>
      <c r="D15" s="8"/>
    </row>
    <row r="16" spans="1:4" ht="15" customHeight="1" x14ac:dyDescent="0.25">
      <c r="A16" s="10"/>
      <c r="B16" s="9"/>
      <c r="C16" s="9"/>
      <c r="D16" s="8"/>
    </row>
    <row r="17" spans="1:4" ht="15" customHeight="1" x14ac:dyDescent="0.25">
      <c r="A17" s="7" t="s">
        <v>200</v>
      </c>
      <c r="B17" s="6"/>
      <c r="C17" s="6"/>
      <c r="D17" s="5"/>
    </row>
    <row r="18" spans="1:4" ht="15" customHeight="1" x14ac:dyDescent="0.25">
      <c r="A18" s="4"/>
      <c r="B18" s="3"/>
      <c r="C18" s="3"/>
      <c r="D18" s="2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21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2.7109375" style="1" customWidth="1"/>
    <col min="2" max="2" width="23.28515625" style="1" customWidth="1"/>
    <col min="3" max="3" width="100.7109375" style="1" customWidth="1"/>
    <col min="4" max="5" width="14.7109375" style="1" customWidth="1"/>
    <col min="6" max="6" width="2.7109375" style="1" customWidth="1"/>
    <col min="7" max="16384" width="9.140625" style="1"/>
  </cols>
  <sheetData>
    <row r="1" spans="1:6" ht="26.25" x14ac:dyDescent="0.4">
      <c r="A1" s="29" t="s">
        <v>6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ht="23.25" x14ac:dyDescent="0.35">
      <c r="A5" s="9"/>
      <c r="B5" s="27" t="s">
        <v>5</v>
      </c>
      <c r="C5" s="9"/>
      <c r="D5" s="9"/>
      <c r="E5" s="9"/>
      <c r="F5" s="9"/>
    </row>
    <row r="6" spans="1:6" x14ac:dyDescent="0.25">
      <c r="A6" s="9"/>
      <c r="B6" s="142" t="s">
        <v>201</v>
      </c>
      <c r="C6" s="143"/>
      <c r="D6" s="143"/>
      <c r="E6" s="143"/>
      <c r="F6" s="9"/>
    </row>
    <row r="7" spans="1:6" x14ac:dyDescent="0.25">
      <c r="A7" s="9"/>
      <c r="B7" s="143"/>
      <c r="C7" s="143"/>
      <c r="D7" s="143"/>
      <c r="E7" s="143"/>
      <c r="F7" s="9"/>
    </row>
    <row r="8" spans="1:6" x14ac:dyDescent="0.25">
      <c r="A8" s="9"/>
      <c r="B8" s="9"/>
      <c r="C8" s="9"/>
      <c r="D8" s="9"/>
      <c r="E8" s="9"/>
      <c r="F8" s="9"/>
    </row>
    <row r="9" spans="1:6" x14ac:dyDescent="0.25">
      <c r="A9" s="9"/>
      <c r="B9" s="28"/>
      <c r="C9" s="28"/>
      <c r="D9" s="9"/>
      <c r="E9" s="9"/>
      <c r="F9" s="9"/>
    </row>
    <row r="10" spans="1:6" x14ac:dyDescent="0.25">
      <c r="A10" s="9"/>
      <c r="B10" s="9"/>
      <c r="C10" s="9"/>
      <c r="D10" s="9"/>
      <c r="E10" s="9"/>
      <c r="F10" s="9"/>
    </row>
    <row r="11" spans="1:6" x14ac:dyDescent="0.25">
      <c r="A11" s="9"/>
      <c r="B11" s="9"/>
      <c r="C11" s="9"/>
      <c r="D11" s="9"/>
      <c r="E11" s="9"/>
      <c r="F11" s="9"/>
    </row>
    <row r="12" spans="1:6" x14ac:dyDescent="0.25">
      <c r="A12" s="9"/>
      <c r="B12" s="9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x14ac:dyDescent="0.25">
      <c r="A14" s="9"/>
      <c r="B14" s="9"/>
      <c r="C14" s="9"/>
      <c r="D14" s="9"/>
      <c r="E14" s="9"/>
      <c r="F14" s="9"/>
    </row>
    <row r="15" spans="1:6" x14ac:dyDescent="0.25">
      <c r="A15" s="9"/>
      <c r="B15" s="9"/>
      <c r="C15" s="9"/>
      <c r="D15" s="9"/>
      <c r="E15" s="9"/>
      <c r="F15" s="9"/>
    </row>
    <row r="16" spans="1:6" x14ac:dyDescent="0.25">
      <c r="A16" s="9"/>
      <c r="B16" s="9"/>
      <c r="C16" s="9"/>
      <c r="D16" s="9"/>
      <c r="E16" s="9"/>
      <c r="F16" s="9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9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9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9"/>
      <c r="E21" s="9"/>
      <c r="F21" s="9"/>
    </row>
  </sheetData>
  <sheetProtection formatColumns="0" formatRows="0"/>
  <mergeCells count="1">
    <mergeCell ref="B6:E7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Footer>&amp;L&amp;F&amp;C&amp;A&amp;R&amp;P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14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9.140625" style="1"/>
    <col min="2" max="2" width="19.85546875" style="1" customWidth="1"/>
    <col min="3" max="3" width="95.28515625" style="1" customWidth="1"/>
    <col min="4" max="16384" width="9.140625" style="1"/>
  </cols>
  <sheetData>
    <row r="1" spans="1:4" ht="26.25" x14ac:dyDescent="0.4">
      <c r="A1" s="29" t="s">
        <v>0</v>
      </c>
      <c r="B1" s="9"/>
      <c r="C1" s="9"/>
      <c r="D1" s="9"/>
    </row>
    <row r="2" spans="1:4" x14ac:dyDescent="0.25">
      <c r="A2" s="9"/>
      <c r="B2" s="9"/>
      <c r="C2" s="9"/>
      <c r="D2" s="9"/>
    </row>
    <row r="3" spans="1:4" ht="15.75" thickBot="1" x14ac:dyDescent="0.3">
      <c r="A3" s="9"/>
      <c r="B3" s="9"/>
      <c r="C3" s="9"/>
      <c r="D3" s="9"/>
    </row>
    <row r="4" spans="1:4" ht="15.75" x14ac:dyDescent="0.25">
      <c r="A4" s="9"/>
      <c r="B4" s="17" t="s">
        <v>1</v>
      </c>
      <c r="C4" s="18" t="s">
        <v>2</v>
      </c>
      <c r="D4" s="9"/>
    </row>
    <row r="5" spans="1:4" x14ac:dyDescent="0.25">
      <c r="A5" s="9"/>
      <c r="B5" s="23" t="s">
        <v>189</v>
      </c>
      <c r="C5" s="24" t="s">
        <v>99</v>
      </c>
      <c r="D5" s="9"/>
    </row>
    <row r="6" spans="1:4" x14ac:dyDescent="0.25">
      <c r="A6" s="9"/>
      <c r="B6" s="25" t="s">
        <v>7</v>
      </c>
      <c r="C6" s="26" t="s">
        <v>7</v>
      </c>
      <c r="D6" s="9"/>
    </row>
    <row r="7" spans="1:4" x14ac:dyDescent="0.25">
      <c r="A7" s="9"/>
      <c r="B7" s="23" t="s">
        <v>190</v>
      </c>
      <c r="C7" s="24" t="s">
        <v>46</v>
      </c>
      <c r="D7" s="9"/>
    </row>
    <row r="8" spans="1:4" x14ac:dyDescent="0.25">
      <c r="A8" s="9"/>
      <c r="B8" s="25" t="s">
        <v>8</v>
      </c>
      <c r="C8" s="26" t="s">
        <v>8</v>
      </c>
      <c r="D8" s="9"/>
    </row>
    <row r="9" spans="1:4" x14ac:dyDescent="0.25">
      <c r="A9" s="9"/>
      <c r="B9" s="128"/>
      <c r="C9" s="129" t="s">
        <v>205</v>
      </c>
      <c r="D9" s="9"/>
    </row>
    <row r="10" spans="1:4" x14ac:dyDescent="0.25">
      <c r="A10" s="9"/>
      <c r="B10" s="128"/>
      <c r="C10" s="129" t="s">
        <v>146</v>
      </c>
      <c r="D10" s="9"/>
    </row>
    <row r="11" spans="1:4" x14ac:dyDescent="0.25">
      <c r="A11" s="9"/>
      <c r="B11" s="23" t="s">
        <v>9</v>
      </c>
      <c r="C11" s="24" t="s">
        <v>61</v>
      </c>
      <c r="D11" s="9"/>
    </row>
    <row r="12" spans="1:4" x14ac:dyDescent="0.25">
      <c r="A12" s="9"/>
      <c r="B12" s="23" t="s">
        <v>202</v>
      </c>
      <c r="C12" s="24" t="s">
        <v>163</v>
      </c>
      <c r="D12" s="9"/>
    </row>
    <row r="13" spans="1:4" ht="15.75" thickBot="1" x14ac:dyDescent="0.3">
      <c r="A13" s="9"/>
      <c r="B13" s="130" t="s">
        <v>191</v>
      </c>
      <c r="C13" s="131" t="s">
        <v>170</v>
      </c>
      <c r="D13" s="9"/>
    </row>
    <row r="14" spans="1:4" x14ac:dyDescent="0.25">
      <c r="A14" s="9"/>
      <c r="B14" s="9"/>
      <c r="C14" s="9"/>
      <c r="D14" s="9"/>
    </row>
  </sheetData>
  <sheetProtection formatColumns="0" formatRows="0"/>
  <hyperlinks>
    <hyperlink ref="C5" location="'Inflators'!$A$1" tooltip="Section title. Click once to follow" display="Price Inflators"/>
    <hyperlink ref="C6" location="'Inputs'!$A$1" tooltip="Section title. Click once to follow" display="Inputs"/>
    <hyperlink ref="C7" location="'EDB Select'!$A$1" tooltip="Section title. Click once to follow" display="EDB Selection"/>
    <hyperlink ref="C8" location="'Calculations'!$A$1" tooltip="Section title. Click once to follow" display="Calculations"/>
    <hyperlink ref="C9" location="'Calculations'!$A$40" tooltip="Section subtitle. Click once to follow" display="Expenditure v.s. 2012 DPP allowance"/>
    <hyperlink ref="C10" location="'Calculations'!$A$97" tooltip="Section subtitle. Click once to follow" display="Historic expenditure vs  recent expenditure"/>
    <hyperlink ref="C11" location="'Output'!$A$1" tooltip="Section title. Click once to follow" display="Output table"/>
    <hyperlink ref="C12" location="'Chart data'!$A$1" tooltip="Section title. Click once to follow" display="Data for graphs"/>
    <hyperlink ref="C13" location="'Charts'!$A$1" tooltip="Section title. Click once to follow" display="Charts for report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Footer>&amp;L&amp;F&amp;C&amp;A&amp;R&amp;P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7E55"/>
  </sheetPr>
  <dimension ref="A1:J79"/>
  <sheetViews>
    <sheetView showGridLines="0" view="pageBreakPreview" zoomScaleNormal="100" zoomScaleSheetLayoutView="100" workbookViewId="0"/>
  </sheetViews>
  <sheetFormatPr defaultColWidth="8.85546875" defaultRowHeight="15" x14ac:dyDescent="0.25"/>
  <cols>
    <col min="1" max="1" width="44.5703125" style="1" customWidth="1"/>
    <col min="2" max="10" width="12.28515625" style="1" customWidth="1"/>
    <col min="11" max="11" width="2.42578125" style="1" customWidth="1"/>
    <col min="12" max="16384" width="8.85546875" style="1"/>
  </cols>
  <sheetData>
    <row r="1" spans="1:8" ht="26.25" x14ac:dyDescent="0.4">
      <c r="A1" s="16" t="s">
        <v>99</v>
      </c>
    </row>
    <row r="2" spans="1:8" ht="21" x14ac:dyDescent="0.35">
      <c r="A2" s="39" t="s">
        <v>110</v>
      </c>
    </row>
    <row r="3" spans="1:8" x14ac:dyDescent="0.25">
      <c r="A3" s="84" t="s">
        <v>203</v>
      </c>
    </row>
    <row r="4" spans="1:8" x14ac:dyDescent="0.25">
      <c r="C4" s="144" t="s">
        <v>111</v>
      </c>
      <c r="D4" s="144"/>
      <c r="E4" s="144"/>
      <c r="F4" s="144" t="s">
        <v>112</v>
      </c>
      <c r="G4" s="144"/>
      <c r="H4" s="144"/>
    </row>
    <row r="5" spans="1:8" ht="26.25" x14ac:dyDescent="0.25">
      <c r="A5" s="85" t="s">
        <v>103</v>
      </c>
      <c r="B5" s="85" t="s">
        <v>104</v>
      </c>
      <c r="C5" s="85" t="s">
        <v>105</v>
      </c>
      <c r="D5" s="85" t="s">
        <v>106</v>
      </c>
      <c r="E5" s="85" t="s">
        <v>107</v>
      </c>
      <c r="F5" s="85" t="s">
        <v>105</v>
      </c>
      <c r="G5" s="85" t="s">
        <v>106</v>
      </c>
      <c r="H5" s="85" t="s">
        <v>107</v>
      </c>
    </row>
    <row r="6" spans="1:8" x14ac:dyDescent="0.25">
      <c r="A6" s="76">
        <v>2007</v>
      </c>
      <c r="B6" s="76">
        <v>1</v>
      </c>
      <c r="C6" s="87">
        <v>859.41644599999995</v>
      </c>
      <c r="D6" s="87">
        <v>1222</v>
      </c>
      <c r="E6" s="87">
        <v>932.47588399999995</v>
      </c>
      <c r="F6" s="87">
        <v>859.41644599999995</v>
      </c>
      <c r="G6" s="87">
        <v>1222</v>
      </c>
      <c r="H6" s="87">
        <v>932.47588399999995</v>
      </c>
    </row>
    <row r="7" spans="1:8" x14ac:dyDescent="0.25">
      <c r="A7" s="76">
        <v>2007</v>
      </c>
      <c r="B7" s="76">
        <v>2</v>
      </c>
      <c r="C7" s="87">
        <v>870.02652499999999</v>
      </c>
      <c r="D7" s="87">
        <v>1227</v>
      </c>
      <c r="E7" s="87">
        <v>938.90675199999998</v>
      </c>
      <c r="F7" s="87">
        <v>870.02652499999999</v>
      </c>
      <c r="G7" s="87">
        <v>1227</v>
      </c>
      <c r="H7" s="87">
        <v>938.90675199999998</v>
      </c>
    </row>
    <row r="8" spans="1:8" x14ac:dyDescent="0.25">
      <c r="A8" s="76">
        <v>2007</v>
      </c>
      <c r="B8" s="76">
        <v>3</v>
      </c>
      <c r="C8" s="87">
        <v>891.24668399999996</v>
      </c>
      <c r="D8" s="87">
        <v>1236</v>
      </c>
      <c r="E8" s="87">
        <v>946.94533799999999</v>
      </c>
      <c r="F8" s="87">
        <v>891.24668399999996</v>
      </c>
      <c r="G8" s="87">
        <v>1236</v>
      </c>
      <c r="H8" s="87">
        <v>946.94533799999999</v>
      </c>
    </row>
    <row r="9" spans="1:8" x14ac:dyDescent="0.25">
      <c r="A9" s="76">
        <v>2007</v>
      </c>
      <c r="B9" s="76">
        <v>4</v>
      </c>
      <c r="C9" s="87">
        <v>902.51989400000002</v>
      </c>
      <c r="D9" s="87">
        <v>1246</v>
      </c>
      <c r="E9" s="87">
        <v>957.39549799999998</v>
      </c>
      <c r="F9" s="87">
        <v>902.51989400000002</v>
      </c>
      <c r="G9" s="87">
        <v>1246</v>
      </c>
      <c r="H9" s="87">
        <v>957.39549799999998</v>
      </c>
    </row>
    <row r="10" spans="1:8" x14ac:dyDescent="0.25">
      <c r="A10" s="76">
        <v>2008</v>
      </c>
      <c r="B10" s="76">
        <v>1</v>
      </c>
      <c r="C10" s="87">
        <v>921.75066300000003</v>
      </c>
      <c r="D10" s="87">
        <v>1252</v>
      </c>
      <c r="E10" s="87">
        <v>964.630225</v>
      </c>
      <c r="F10" s="87">
        <v>921.75066300000003</v>
      </c>
      <c r="G10" s="87">
        <v>1252</v>
      </c>
      <c r="H10" s="87">
        <v>964.630225</v>
      </c>
    </row>
    <row r="11" spans="1:8" x14ac:dyDescent="0.25">
      <c r="A11" s="76">
        <v>2008</v>
      </c>
      <c r="B11" s="76">
        <v>2</v>
      </c>
      <c r="C11" s="87">
        <v>976.79045099999996</v>
      </c>
      <c r="D11" s="87">
        <v>1265</v>
      </c>
      <c r="E11" s="87">
        <v>972.66881000000001</v>
      </c>
      <c r="F11" s="87">
        <v>976.79045099999996</v>
      </c>
      <c r="G11" s="87">
        <v>1265</v>
      </c>
      <c r="H11" s="87">
        <v>972.66881000000001</v>
      </c>
    </row>
    <row r="12" spans="1:8" x14ac:dyDescent="0.25">
      <c r="A12" s="76">
        <v>2008</v>
      </c>
      <c r="B12" s="76">
        <v>3</v>
      </c>
      <c r="C12" s="87">
        <v>1012.599469</v>
      </c>
      <c r="D12" s="87">
        <v>1283</v>
      </c>
      <c r="E12" s="87">
        <v>984.72668799999997</v>
      </c>
      <c r="F12" s="87">
        <v>1012.599469</v>
      </c>
      <c r="G12" s="87">
        <v>1283</v>
      </c>
      <c r="H12" s="87">
        <v>984.72668799999997</v>
      </c>
    </row>
    <row r="13" spans="1:8" x14ac:dyDescent="0.25">
      <c r="A13" s="76">
        <v>2008</v>
      </c>
      <c r="B13" s="76">
        <v>4</v>
      </c>
      <c r="C13" s="87">
        <v>990.05304999999998</v>
      </c>
      <c r="D13" s="87">
        <v>1297</v>
      </c>
      <c r="E13" s="87">
        <v>991.157556</v>
      </c>
      <c r="F13" s="87">
        <v>990.05304999999998</v>
      </c>
      <c r="G13" s="87">
        <v>1297</v>
      </c>
      <c r="H13" s="87">
        <v>991.157556</v>
      </c>
    </row>
    <row r="14" spans="1:8" x14ac:dyDescent="0.25">
      <c r="A14" s="76">
        <v>2009</v>
      </c>
      <c r="B14" s="76">
        <v>1</v>
      </c>
      <c r="C14" s="87">
        <v>964.85411099999999</v>
      </c>
      <c r="D14" s="87">
        <v>1313</v>
      </c>
      <c r="E14" s="87">
        <v>996.78456600000004</v>
      </c>
      <c r="F14" s="87">
        <v>964.85411099999999</v>
      </c>
      <c r="G14" s="87">
        <v>1313</v>
      </c>
      <c r="H14" s="87">
        <v>996.78456600000004</v>
      </c>
    </row>
    <row r="15" spans="1:8" x14ac:dyDescent="0.25">
      <c r="A15" s="76">
        <v>2009</v>
      </c>
      <c r="B15" s="76">
        <v>2</v>
      </c>
      <c r="C15" s="87">
        <v>964.85411099999999</v>
      </c>
      <c r="D15" s="87">
        <v>1317</v>
      </c>
      <c r="E15" s="87">
        <v>1000</v>
      </c>
      <c r="F15" s="87">
        <v>965</v>
      </c>
      <c r="G15" s="87">
        <v>1317</v>
      </c>
      <c r="H15" s="87">
        <v>1000</v>
      </c>
    </row>
    <row r="16" spans="1:8" x14ac:dyDescent="0.25">
      <c r="A16" s="76">
        <v>2009</v>
      </c>
      <c r="B16" s="76">
        <v>3</v>
      </c>
      <c r="C16" s="87">
        <v>954.24403199999995</v>
      </c>
      <c r="D16" s="87">
        <v>1312</v>
      </c>
      <c r="E16" s="87">
        <v>1005</v>
      </c>
      <c r="F16" s="87">
        <v>954</v>
      </c>
      <c r="G16" s="87">
        <v>1312</v>
      </c>
      <c r="H16" s="87">
        <v>1005</v>
      </c>
    </row>
    <row r="17" spans="1:8" x14ac:dyDescent="0.25">
      <c r="A17" s="76">
        <v>2009</v>
      </c>
      <c r="B17" s="76">
        <v>4</v>
      </c>
      <c r="C17" s="87">
        <v>958.22281199999998</v>
      </c>
      <c r="D17" s="87">
        <v>1309</v>
      </c>
      <c r="E17" s="87">
        <v>1009</v>
      </c>
      <c r="F17" s="87">
        <v>958</v>
      </c>
      <c r="G17" s="87">
        <v>1309</v>
      </c>
      <c r="H17" s="87">
        <v>1009</v>
      </c>
    </row>
    <row r="18" spans="1:8" x14ac:dyDescent="0.25">
      <c r="A18" s="76">
        <v>2010</v>
      </c>
      <c r="B18" s="76">
        <v>1</v>
      </c>
      <c r="C18" s="87">
        <v>970.82228099999998</v>
      </c>
      <c r="D18" s="87">
        <v>1308</v>
      </c>
      <c r="E18" s="87">
        <v>1012</v>
      </c>
      <c r="F18" s="87">
        <v>971</v>
      </c>
      <c r="G18" s="87">
        <v>1308</v>
      </c>
      <c r="H18" s="87">
        <v>1012</v>
      </c>
    </row>
    <row r="19" spans="1:8" x14ac:dyDescent="0.25">
      <c r="A19" s="76">
        <v>2010</v>
      </c>
      <c r="B19" s="76">
        <v>2</v>
      </c>
      <c r="C19" s="87">
        <v>984.084881</v>
      </c>
      <c r="D19" s="87">
        <v>1309</v>
      </c>
      <c r="E19" s="87">
        <v>1016</v>
      </c>
      <c r="F19" s="87">
        <v>984</v>
      </c>
      <c r="G19" s="87">
        <v>1309</v>
      </c>
      <c r="H19" s="87">
        <v>1016</v>
      </c>
    </row>
    <row r="20" spans="1:8" x14ac:dyDescent="0.25">
      <c r="A20" s="76">
        <v>2010</v>
      </c>
      <c r="B20" s="76">
        <v>3</v>
      </c>
      <c r="C20" s="87">
        <v>990.71618000000001</v>
      </c>
      <c r="D20" s="87">
        <v>1314</v>
      </c>
      <c r="E20" s="87">
        <v>1021</v>
      </c>
      <c r="F20" s="87">
        <v>991</v>
      </c>
      <c r="G20" s="87">
        <v>1314</v>
      </c>
      <c r="H20" s="87">
        <v>1021</v>
      </c>
    </row>
    <row r="21" spans="1:8" x14ac:dyDescent="0.25">
      <c r="A21" s="76">
        <v>2010</v>
      </c>
      <c r="B21" s="76">
        <v>4</v>
      </c>
      <c r="C21" s="87">
        <v>1000</v>
      </c>
      <c r="D21" s="87">
        <v>1305</v>
      </c>
      <c r="E21" s="87">
        <v>1026</v>
      </c>
      <c r="F21" s="87">
        <v>1000</v>
      </c>
      <c r="G21" s="87">
        <v>1305</v>
      </c>
      <c r="H21" s="87">
        <v>1026</v>
      </c>
    </row>
    <row r="22" spans="1:8" x14ac:dyDescent="0.25">
      <c r="A22" s="76">
        <v>2011</v>
      </c>
      <c r="B22" s="76">
        <v>1</v>
      </c>
      <c r="C22" s="87">
        <v>1022</v>
      </c>
      <c r="D22" s="87">
        <v>1307</v>
      </c>
      <c r="E22" s="87">
        <v>1031</v>
      </c>
      <c r="F22" s="87">
        <v>1022</v>
      </c>
      <c r="G22" s="87">
        <v>1307</v>
      </c>
      <c r="H22" s="87">
        <v>1031</v>
      </c>
    </row>
    <row r="23" spans="1:8" x14ac:dyDescent="0.25">
      <c r="A23" s="76">
        <v>2011</v>
      </c>
      <c r="B23" s="76">
        <v>2</v>
      </c>
      <c r="C23" s="87">
        <v>1031</v>
      </c>
      <c r="D23" s="87">
        <v>1314</v>
      </c>
      <c r="E23" s="87">
        <v>1035</v>
      </c>
      <c r="F23" s="87">
        <v>1031</v>
      </c>
      <c r="G23" s="87">
        <v>1314</v>
      </c>
      <c r="H23" s="87">
        <v>1035</v>
      </c>
    </row>
    <row r="24" spans="1:8" x14ac:dyDescent="0.25">
      <c r="A24" s="76">
        <v>2011</v>
      </c>
      <c r="B24" s="76">
        <v>3</v>
      </c>
      <c r="C24" s="87">
        <v>1037</v>
      </c>
      <c r="D24" s="87">
        <v>1314</v>
      </c>
      <c r="E24" s="87">
        <v>1041</v>
      </c>
      <c r="F24" s="87">
        <v>1037</v>
      </c>
      <c r="G24" s="87">
        <v>1314</v>
      </c>
      <c r="H24" s="87">
        <v>1041</v>
      </c>
    </row>
    <row r="25" spans="1:8" x14ac:dyDescent="0.25">
      <c r="A25" s="76">
        <v>2011</v>
      </c>
      <c r="B25" s="76">
        <v>4</v>
      </c>
      <c r="C25" s="87">
        <v>1042</v>
      </c>
      <c r="D25" s="87">
        <v>1319</v>
      </c>
      <c r="E25" s="87">
        <v>1047</v>
      </c>
      <c r="F25" s="87">
        <v>1042</v>
      </c>
      <c r="G25" s="87">
        <v>1319</v>
      </c>
      <c r="H25" s="87">
        <v>1047</v>
      </c>
    </row>
    <row r="26" spans="1:8" x14ac:dyDescent="0.25">
      <c r="A26" s="76">
        <v>2012</v>
      </c>
      <c r="B26" s="76">
        <v>1</v>
      </c>
      <c r="C26" s="87">
        <v>1045</v>
      </c>
      <c r="D26" s="87">
        <v>1319</v>
      </c>
      <c r="E26" s="87">
        <v>1052</v>
      </c>
      <c r="F26" s="87">
        <v>1045</v>
      </c>
      <c r="G26" s="87">
        <v>1319</v>
      </c>
      <c r="H26" s="87">
        <v>1052</v>
      </c>
    </row>
    <row r="27" spans="1:8" x14ac:dyDescent="0.25">
      <c r="A27" s="76">
        <v>2012</v>
      </c>
      <c r="B27" s="76">
        <v>2</v>
      </c>
      <c r="C27" s="87">
        <v>1051</v>
      </c>
      <c r="D27" s="87">
        <v>1327</v>
      </c>
      <c r="E27" s="87">
        <v>1056</v>
      </c>
      <c r="F27" s="87">
        <v>1051</v>
      </c>
      <c r="G27" s="87">
        <v>1327</v>
      </c>
      <c r="H27" s="87">
        <v>1056</v>
      </c>
    </row>
    <row r="28" spans="1:8" x14ac:dyDescent="0.25">
      <c r="A28" s="76">
        <v>2012</v>
      </c>
      <c r="B28" s="76">
        <v>3</v>
      </c>
      <c r="C28" s="87">
        <v>1040</v>
      </c>
      <c r="D28" s="87">
        <v>1331</v>
      </c>
      <c r="E28" s="87">
        <v>1061</v>
      </c>
      <c r="F28" s="87">
        <v>1057</v>
      </c>
      <c r="G28" s="87">
        <v>1331</v>
      </c>
      <c r="H28" s="87">
        <v>1060.3128193235095</v>
      </c>
    </row>
    <row r="29" spans="1:8" x14ac:dyDescent="0.25">
      <c r="A29" s="76">
        <v>2012</v>
      </c>
      <c r="B29" s="76">
        <v>4</v>
      </c>
      <c r="C29" s="87">
        <v>1037</v>
      </c>
      <c r="D29" s="87">
        <v>1331</v>
      </c>
      <c r="E29" s="87">
        <v>1066</v>
      </c>
      <c r="F29" s="87">
        <v>1064</v>
      </c>
      <c r="G29" s="87">
        <v>1335.0591630844835</v>
      </c>
      <c r="H29" s="87">
        <v>1064.6432526721301</v>
      </c>
    </row>
    <row r="30" spans="1:8" x14ac:dyDescent="0.25">
      <c r="A30" s="76">
        <v>2013</v>
      </c>
      <c r="B30" s="76">
        <v>1</v>
      </c>
      <c r="C30" s="87">
        <v>1045</v>
      </c>
      <c r="D30" s="87">
        <v>1330</v>
      </c>
      <c r="E30" s="87">
        <v>1070</v>
      </c>
      <c r="F30" s="87">
        <v>1070</v>
      </c>
      <c r="G30" s="87">
        <v>1335.7779110339511</v>
      </c>
      <c r="H30" s="87">
        <v>1068.991371983464</v>
      </c>
    </row>
    <row r="31" spans="1:8" x14ac:dyDescent="0.25">
      <c r="A31" s="76">
        <v>2013</v>
      </c>
      <c r="B31" s="76">
        <v>2</v>
      </c>
      <c r="C31" s="87">
        <v>1051</v>
      </c>
      <c r="D31" s="87">
        <v>1337</v>
      </c>
      <c r="E31" s="87">
        <v>1074</v>
      </c>
      <c r="F31" s="87">
        <v>1078</v>
      </c>
      <c r="G31" s="87">
        <v>1345.5103076977716</v>
      </c>
      <c r="H31" s="87">
        <v>1074.2658767459438</v>
      </c>
    </row>
    <row r="32" spans="1:8" x14ac:dyDescent="0.25">
      <c r="A32" s="76">
        <v>2013</v>
      </c>
      <c r="B32" s="76">
        <v>3</v>
      </c>
      <c r="C32" s="87">
        <v>1074</v>
      </c>
      <c r="D32" s="87">
        <v>1343</v>
      </c>
      <c r="E32" s="87">
        <v>1079</v>
      </c>
      <c r="F32" s="87">
        <v>1088</v>
      </c>
      <c r="G32" s="87">
        <v>1350.9679779931434</v>
      </c>
      <c r="H32" s="87">
        <v>1079.5664064149089</v>
      </c>
    </row>
    <row r="33" spans="1:8" x14ac:dyDescent="0.25">
      <c r="A33" s="76">
        <v>2013</v>
      </c>
      <c r="B33" s="76">
        <v>4</v>
      </c>
      <c r="C33" s="87">
        <v>1066</v>
      </c>
      <c r="D33" s="87">
        <v>1350</v>
      </c>
      <c r="E33" s="87">
        <v>1083</v>
      </c>
      <c r="F33" s="87">
        <v>1098</v>
      </c>
      <c r="G33" s="87">
        <v>1356.8354810734847</v>
      </c>
      <c r="H33" s="87">
        <v>1084.8930893997147</v>
      </c>
    </row>
    <row r="34" spans="1:8" x14ac:dyDescent="0.25">
      <c r="A34" s="76">
        <v>2014</v>
      </c>
      <c r="B34" s="76">
        <v>1</v>
      </c>
      <c r="C34" s="87">
        <v>1077</v>
      </c>
      <c r="D34" s="87">
        <v>1358</v>
      </c>
      <c r="E34" s="87">
        <v>1087</v>
      </c>
      <c r="F34" s="87">
        <v>1107</v>
      </c>
      <c r="G34" s="87">
        <v>1360.4365616062091</v>
      </c>
      <c r="H34" s="87">
        <v>1090.2460547433006</v>
      </c>
    </row>
    <row r="35" spans="1:8" x14ac:dyDescent="0.25">
      <c r="A35" s="76">
        <v>2014</v>
      </c>
      <c r="B35" s="76">
        <v>2</v>
      </c>
      <c r="C35" s="87">
        <v>1066</v>
      </c>
      <c r="D35" s="87">
        <v>1367</v>
      </c>
      <c r="E35" s="87">
        <v>1092</v>
      </c>
      <c r="F35" s="87">
        <v>1115</v>
      </c>
      <c r="G35" s="87">
        <v>1371.6935818488062</v>
      </c>
      <c r="H35" s="87">
        <v>1095.9146717987958</v>
      </c>
    </row>
    <row r="36" spans="1:8" x14ac:dyDescent="0.25">
      <c r="A36" s="76">
        <v>2014</v>
      </c>
      <c r="B36" s="76">
        <v>3</v>
      </c>
      <c r="C36" s="87">
        <v>1050</v>
      </c>
      <c r="D36" s="87">
        <v>1374</v>
      </c>
      <c r="E36" s="87">
        <v>1096</v>
      </c>
      <c r="F36" s="87">
        <v>1124</v>
      </c>
      <c r="G36" s="87">
        <v>1378.5450006751437</v>
      </c>
      <c r="H36" s="87">
        <v>1101.6127622187503</v>
      </c>
    </row>
    <row r="37" spans="1:8" x14ac:dyDescent="0.25">
      <c r="A37" s="76">
        <v>2014</v>
      </c>
      <c r="B37" s="76">
        <v>4</v>
      </c>
      <c r="C37" s="87">
        <v>1046</v>
      </c>
      <c r="D37" s="87">
        <v>1388</v>
      </c>
      <c r="E37" s="87">
        <v>1102</v>
      </c>
      <c r="F37" s="87">
        <v>1133</v>
      </c>
      <c r="G37" s="87">
        <v>1385.2240028503043</v>
      </c>
      <c r="H37" s="87">
        <v>1107.3404792467513</v>
      </c>
    </row>
    <row r="38" spans="1:8" x14ac:dyDescent="0.25">
      <c r="A38" s="76">
        <v>2015</v>
      </c>
      <c r="B38" s="76">
        <v>1</v>
      </c>
      <c r="C38" s="87">
        <v>1034</v>
      </c>
      <c r="D38" s="87">
        <v>1396</v>
      </c>
      <c r="E38" s="87">
        <v>1105</v>
      </c>
      <c r="F38" s="87">
        <v>1144</v>
      </c>
      <c r="G38" s="87">
        <v>1390.4247802070229</v>
      </c>
      <c r="H38" s="87">
        <v>1113.0979769231599</v>
      </c>
    </row>
    <row r="41" spans="1:8" ht="21" x14ac:dyDescent="0.35">
      <c r="A41" s="39" t="s">
        <v>108</v>
      </c>
    </row>
    <row r="42" spans="1:8" ht="15" customHeight="1" x14ac:dyDescent="0.35">
      <c r="A42" s="39"/>
      <c r="C42" s="144" t="s">
        <v>111</v>
      </c>
      <c r="D42" s="144"/>
      <c r="E42" s="144"/>
      <c r="F42" s="144" t="s">
        <v>112</v>
      </c>
      <c r="G42" s="144"/>
      <c r="H42" s="144"/>
    </row>
    <row r="43" spans="1:8" ht="26.25" x14ac:dyDescent="0.25">
      <c r="A43" s="85" t="s">
        <v>103</v>
      </c>
      <c r="B43" s="85"/>
      <c r="C43" s="85" t="s">
        <v>105</v>
      </c>
      <c r="D43" s="85" t="s">
        <v>106</v>
      </c>
      <c r="E43" s="85" t="s">
        <v>107</v>
      </c>
      <c r="F43" s="85" t="s">
        <v>105</v>
      </c>
      <c r="G43" s="85" t="s">
        <v>106</v>
      </c>
      <c r="H43" s="85" t="s">
        <v>107</v>
      </c>
    </row>
    <row r="44" spans="1:8" x14ac:dyDescent="0.25">
      <c r="A44" s="76">
        <v>2008</v>
      </c>
      <c r="B44" s="88" t="s">
        <v>109</v>
      </c>
      <c r="C44" s="89">
        <f t="shared" ref="C44:H44" si="0">SUM(C7:C10)</f>
        <v>3585.5437659999998</v>
      </c>
      <c r="D44" s="89">
        <f t="shared" si="0"/>
        <v>4961</v>
      </c>
      <c r="E44" s="89">
        <f t="shared" si="0"/>
        <v>3807.8778129999996</v>
      </c>
      <c r="F44" s="89">
        <f t="shared" si="0"/>
        <v>3585.5437659999998</v>
      </c>
      <c r="G44" s="89">
        <f t="shared" si="0"/>
        <v>4961</v>
      </c>
      <c r="H44" s="89">
        <f t="shared" si="0"/>
        <v>3807.8778129999996</v>
      </c>
    </row>
    <row r="45" spans="1:8" x14ac:dyDescent="0.25">
      <c r="A45" s="76">
        <v>2009</v>
      </c>
      <c r="B45" s="88" t="s">
        <v>109</v>
      </c>
      <c r="C45" s="89">
        <f t="shared" ref="C45:H45" si="1">SUM(C11:C14)</f>
        <v>3944.2970810000002</v>
      </c>
      <c r="D45" s="89">
        <f t="shared" si="1"/>
        <v>5158</v>
      </c>
      <c r="E45" s="89">
        <f t="shared" si="1"/>
        <v>3945.3376200000002</v>
      </c>
      <c r="F45" s="89">
        <f t="shared" si="1"/>
        <v>3944.2970810000002</v>
      </c>
      <c r="G45" s="89">
        <f t="shared" si="1"/>
        <v>5158</v>
      </c>
      <c r="H45" s="89">
        <f t="shared" si="1"/>
        <v>3945.3376200000002</v>
      </c>
    </row>
    <row r="46" spans="1:8" x14ac:dyDescent="0.25">
      <c r="A46" s="76">
        <v>2010</v>
      </c>
      <c r="B46" s="88" t="s">
        <v>109</v>
      </c>
      <c r="C46" s="89">
        <f t="shared" ref="C46:H46" si="2">SUM(C15:C18)</f>
        <v>3848.1432359999999</v>
      </c>
      <c r="D46" s="89">
        <f t="shared" si="2"/>
        <v>5246</v>
      </c>
      <c r="E46" s="89">
        <f t="shared" si="2"/>
        <v>4026</v>
      </c>
      <c r="F46" s="89">
        <f t="shared" si="2"/>
        <v>3848</v>
      </c>
      <c r="G46" s="89">
        <f t="shared" si="2"/>
        <v>5246</v>
      </c>
      <c r="H46" s="89">
        <f t="shared" si="2"/>
        <v>4026</v>
      </c>
    </row>
    <row r="47" spans="1:8" x14ac:dyDescent="0.25">
      <c r="A47" s="76">
        <v>2011</v>
      </c>
      <c r="B47" s="88" t="s">
        <v>109</v>
      </c>
      <c r="C47" s="89">
        <f t="shared" ref="C47:H47" si="3">SUM(C19:C22)</f>
        <v>3996.8010610000001</v>
      </c>
      <c r="D47" s="89">
        <f t="shared" si="3"/>
        <v>5235</v>
      </c>
      <c r="E47" s="89">
        <f t="shared" si="3"/>
        <v>4094</v>
      </c>
      <c r="F47" s="89">
        <f t="shared" si="3"/>
        <v>3997</v>
      </c>
      <c r="G47" s="89">
        <f t="shared" si="3"/>
        <v>5235</v>
      </c>
      <c r="H47" s="89">
        <f t="shared" si="3"/>
        <v>4094</v>
      </c>
    </row>
    <row r="48" spans="1:8" x14ac:dyDescent="0.25">
      <c r="A48" s="76">
        <v>2012</v>
      </c>
      <c r="B48" s="88" t="s">
        <v>109</v>
      </c>
      <c r="C48" s="89">
        <f t="shared" ref="C48:H48" si="4">SUM(C23:C26)</f>
        <v>4155</v>
      </c>
      <c r="D48" s="89">
        <f t="shared" si="4"/>
        <v>5266</v>
      </c>
      <c r="E48" s="89">
        <f t="shared" si="4"/>
        <v>4175</v>
      </c>
      <c r="F48" s="89">
        <f t="shared" si="4"/>
        <v>4155</v>
      </c>
      <c r="G48" s="89">
        <f t="shared" si="4"/>
        <v>5266</v>
      </c>
      <c r="H48" s="89">
        <f t="shared" si="4"/>
        <v>4175</v>
      </c>
    </row>
    <row r="49" spans="1:8" x14ac:dyDescent="0.25">
      <c r="A49" s="76">
        <v>2013</v>
      </c>
      <c r="B49" s="88" t="s">
        <v>109</v>
      </c>
      <c r="C49" s="89">
        <f t="shared" ref="C49:H49" si="5">SUM(C27:C30)</f>
        <v>4173</v>
      </c>
      <c r="D49" s="89">
        <f t="shared" si="5"/>
        <v>5319</v>
      </c>
      <c r="E49" s="89">
        <f t="shared" si="5"/>
        <v>4253</v>
      </c>
      <c r="F49" s="89">
        <f t="shared" si="5"/>
        <v>4242</v>
      </c>
      <c r="G49" s="89">
        <f t="shared" si="5"/>
        <v>5328.8370741184353</v>
      </c>
      <c r="H49" s="89">
        <f t="shared" si="5"/>
        <v>4249.9474439791038</v>
      </c>
    </row>
    <row r="50" spans="1:8" x14ac:dyDescent="0.25">
      <c r="A50" s="76">
        <v>2014</v>
      </c>
      <c r="B50" s="88" t="s">
        <v>109</v>
      </c>
      <c r="C50" s="89">
        <f t="shared" ref="C50:H50" si="6">SUM(C31:C34)</f>
        <v>4268</v>
      </c>
      <c r="D50" s="89">
        <f t="shared" si="6"/>
        <v>5388</v>
      </c>
      <c r="E50" s="89">
        <f t="shared" si="6"/>
        <v>4323</v>
      </c>
      <c r="F50" s="89">
        <f t="shared" si="6"/>
        <v>4371</v>
      </c>
      <c r="G50" s="89">
        <f t="shared" si="6"/>
        <v>5413.7503283706083</v>
      </c>
      <c r="H50" s="89">
        <f t="shared" si="6"/>
        <v>4328.971427303868</v>
      </c>
    </row>
    <row r="51" spans="1:8" x14ac:dyDescent="0.25">
      <c r="A51" s="76">
        <v>2015</v>
      </c>
      <c r="B51" s="88" t="s">
        <v>109</v>
      </c>
      <c r="C51" s="89">
        <f t="shared" ref="C51:H51" si="7">SUM(C35:C38)</f>
        <v>4196</v>
      </c>
      <c r="D51" s="89">
        <f t="shared" si="7"/>
        <v>5525</v>
      </c>
      <c r="E51" s="89">
        <f t="shared" si="7"/>
        <v>4395</v>
      </c>
      <c r="F51" s="89">
        <f t="shared" si="7"/>
        <v>4516</v>
      </c>
      <c r="G51" s="89">
        <f t="shared" si="7"/>
        <v>5525.8873655812777</v>
      </c>
      <c r="H51" s="89">
        <f t="shared" si="7"/>
        <v>4417.9658901874573</v>
      </c>
    </row>
    <row r="53" spans="1:8" ht="21" x14ac:dyDescent="0.35">
      <c r="A53" s="39" t="s">
        <v>186</v>
      </c>
    </row>
    <row r="54" spans="1:8" x14ac:dyDescent="0.25">
      <c r="A54" s="106" t="s">
        <v>187</v>
      </c>
      <c r="B54" s="88"/>
      <c r="C54" s="49">
        <f>(C51/C48)^(1/3)-1</f>
        <v>3.2784498084108549E-3</v>
      </c>
      <c r="D54" s="49">
        <f t="shared" ref="D54:H54" si="8">(D51/D48)^(1/3)-1</f>
        <v>1.6132813040870664E-2</v>
      </c>
      <c r="E54" s="49">
        <f t="shared" si="8"/>
        <v>1.7265072072629506E-2</v>
      </c>
      <c r="F54" s="49">
        <f t="shared" si="8"/>
        <v>2.8160626198959982E-2</v>
      </c>
      <c r="G54" s="49">
        <f t="shared" si="8"/>
        <v>1.618721020623104E-2</v>
      </c>
      <c r="H54" s="49">
        <f t="shared" si="8"/>
        <v>1.9033886830285507E-2</v>
      </c>
    </row>
    <row r="55" spans="1:8" x14ac:dyDescent="0.25">
      <c r="A55" s="106" t="s">
        <v>188</v>
      </c>
      <c r="B55" s="88"/>
      <c r="C55" s="49">
        <f>C54-F54</f>
        <v>-2.4882176390549127E-2</v>
      </c>
      <c r="D55" s="49">
        <f t="shared" ref="D55:E55" si="9">D54-G54</f>
        <v>-5.4397165360375865E-5</v>
      </c>
      <c r="E55" s="49">
        <f t="shared" si="9"/>
        <v>-1.7688147576560009E-3</v>
      </c>
      <c r="F55" s="89"/>
      <c r="G55" s="89"/>
      <c r="H55" s="89"/>
    </row>
    <row r="57" spans="1:8" ht="21" x14ac:dyDescent="0.35">
      <c r="A57" s="39" t="s">
        <v>113</v>
      </c>
    </row>
    <row r="58" spans="1:8" ht="15" customHeight="1" x14ac:dyDescent="0.35">
      <c r="A58" s="39"/>
      <c r="C58" s="144" t="s">
        <v>111</v>
      </c>
      <c r="D58" s="144"/>
      <c r="E58" s="144"/>
      <c r="F58" s="144" t="s">
        <v>112</v>
      </c>
      <c r="G58" s="144"/>
      <c r="H58" s="144"/>
    </row>
    <row r="59" spans="1:8" ht="28.9" customHeight="1" x14ac:dyDescent="0.25">
      <c r="A59" s="85" t="s">
        <v>103</v>
      </c>
      <c r="B59" s="85"/>
      <c r="C59" s="85" t="s">
        <v>100</v>
      </c>
      <c r="D59" s="85" t="s">
        <v>102</v>
      </c>
      <c r="E59" s="85" t="s">
        <v>101</v>
      </c>
      <c r="F59" s="85" t="s">
        <v>100</v>
      </c>
      <c r="G59" s="85" t="s">
        <v>102</v>
      </c>
      <c r="H59" s="85" t="s">
        <v>101</v>
      </c>
    </row>
    <row r="60" spans="1:8" x14ac:dyDescent="0.25">
      <c r="A60" s="76">
        <v>2008</v>
      </c>
      <c r="B60" s="88" t="s">
        <v>109</v>
      </c>
      <c r="C60" s="90">
        <f t="shared" ref="C60:E60" si="10">C44/C$51</f>
        <v>0.85451472020972352</v>
      </c>
      <c r="D60" s="90">
        <f t="shared" si="10"/>
        <v>0.89791855203619908</v>
      </c>
      <c r="E60" s="90">
        <f t="shared" si="10"/>
        <v>0.86641133401592707</v>
      </c>
      <c r="F60" s="90">
        <f t="shared" ref="F60:H60" si="11">F44/F$51</f>
        <v>0.79396451860053141</v>
      </c>
      <c r="G60" s="90">
        <f t="shared" si="11"/>
        <v>0.89777436125467314</v>
      </c>
      <c r="H60" s="90">
        <f t="shared" si="11"/>
        <v>0.86190747227304387</v>
      </c>
    </row>
    <row r="61" spans="1:8" x14ac:dyDescent="0.25">
      <c r="A61" s="76">
        <v>2009</v>
      </c>
      <c r="B61" s="88" t="s">
        <v>109</v>
      </c>
      <c r="C61" s="90">
        <f t="shared" ref="C61:E67" si="12">C45/C$51</f>
        <v>0.94001360367016207</v>
      </c>
      <c r="D61" s="90">
        <f t="shared" si="12"/>
        <v>0.93357466063348415</v>
      </c>
      <c r="E61" s="90">
        <f t="shared" si="12"/>
        <v>0.89768774061433454</v>
      </c>
      <c r="F61" s="90">
        <f t="shared" ref="F61:H61" si="13">F45/F$51</f>
        <v>0.87340502236492479</v>
      </c>
      <c r="G61" s="90">
        <f t="shared" si="13"/>
        <v>0.93342474407409881</v>
      </c>
      <c r="H61" s="90">
        <f t="shared" si="13"/>
        <v>0.8930212948820655</v>
      </c>
    </row>
    <row r="62" spans="1:8" x14ac:dyDescent="0.25">
      <c r="A62" s="76">
        <v>2010</v>
      </c>
      <c r="B62" s="88" t="s">
        <v>109</v>
      </c>
      <c r="C62" s="90">
        <f t="shared" si="12"/>
        <v>0.91709800667302188</v>
      </c>
      <c r="D62" s="90">
        <f t="shared" si="12"/>
        <v>0.94950226244343894</v>
      </c>
      <c r="E62" s="90">
        <f t="shared" si="12"/>
        <v>0.91604095563139931</v>
      </c>
      <c r="F62" s="90">
        <f t="shared" ref="F62:H62" si="14">F46/F$51</f>
        <v>0.85208148804251549</v>
      </c>
      <c r="G62" s="90">
        <f t="shared" si="14"/>
        <v>0.94934978817617721</v>
      </c>
      <c r="H62" s="90">
        <f t="shared" si="14"/>
        <v>0.9112791044724825</v>
      </c>
    </row>
    <row r="63" spans="1:8" x14ac:dyDescent="0.25">
      <c r="A63" s="76">
        <v>2011</v>
      </c>
      <c r="B63" s="88" t="s">
        <v>109</v>
      </c>
      <c r="C63" s="90">
        <f t="shared" si="12"/>
        <v>0.95252646830314591</v>
      </c>
      <c r="D63" s="90">
        <f t="shared" si="12"/>
        <v>0.94751131221719453</v>
      </c>
      <c r="E63" s="90">
        <f t="shared" si="12"/>
        <v>0.93151308304891922</v>
      </c>
      <c r="F63" s="90">
        <f t="shared" ref="F63:H63" si="15">F47/F$51</f>
        <v>0.8850752878653676</v>
      </c>
      <c r="G63" s="90">
        <f t="shared" si="15"/>
        <v>0.94735915766341738</v>
      </c>
      <c r="H63" s="90">
        <f t="shared" si="15"/>
        <v>0.926670803206742</v>
      </c>
    </row>
    <row r="64" spans="1:8" x14ac:dyDescent="0.25">
      <c r="A64" s="76">
        <v>2012</v>
      </c>
      <c r="B64" s="88" t="s">
        <v>109</v>
      </c>
      <c r="C64" s="90">
        <f t="shared" si="12"/>
        <v>0.99022878932316494</v>
      </c>
      <c r="D64" s="90">
        <f t="shared" si="12"/>
        <v>0.95312217194570137</v>
      </c>
      <c r="E64" s="90">
        <f t="shared" si="12"/>
        <v>0.94994311717861202</v>
      </c>
      <c r="F64" s="90">
        <f t="shared" ref="F64:H64" si="16">F48/F$51</f>
        <v>0.92006200177147923</v>
      </c>
      <c r="G64" s="90">
        <f t="shared" si="16"/>
        <v>0.95296911638119508</v>
      </c>
      <c r="H64" s="90">
        <f t="shared" si="16"/>
        <v>0.94500503258137469</v>
      </c>
    </row>
    <row r="65" spans="1:10" x14ac:dyDescent="0.25">
      <c r="A65" s="76">
        <v>2013</v>
      </c>
      <c r="B65" s="88" t="s">
        <v>109</v>
      </c>
      <c r="C65" s="90">
        <f t="shared" si="12"/>
        <v>0.99451858913250712</v>
      </c>
      <c r="D65" s="90">
        <f t="shared" si="12"/>
        <v>0.96271493212669679</v>
      </c>
      <c r="E65" s="90">
        <f t="shared" si="12"/>
        <v>0.96769055745164956</v>
      </c>
      <c r="F65" s="90">
        <f t="shared" ref="F65:H65" si="17">F49/F$51</f>
        <v>0.93932683790965454</v>
      </c>
      <c r="G65" s="90">
        <f t="shared" si="17"/>
        <v>0.96434051611507754</v>
      </c>
      <c r="H65" s="90">
        <f t="shared" si="17"/>
        <v>0.9619692749141564</v>
      </c>
    </row>
    <row r="66" spans="1:10" x14ac:dyDescent="0.25">
      <c r="A66" s="76">
        <v>2014</v>
      </c>
      <c r="B66" s="88" t="s">
        <v>109</v>
      </c>
      <c r="C66" s="90">
        <f t="shared" si="12"/>
        <v>1.017159199237369</v>
      </c>
      <c r="D66" s="90">
        <f t="shared" si="12"/>
        <v>0.97520361990950222</v>
      </c>
      <c r="E66" s="90">
        <f t="shared" si="12"/>
        <v>0.98361774744027308</v>
      </c>
      <c r="F66" s="90">
        <f t="shared" ref="F66:H66" si="18">F50/F$51</f>
        <v>0.96789193976970767</v>
      </c>
      <c r="G66" s="90">
        <f t="shared" si="18"/>
        <v>0.97970696291981452</v>
      </c>
      <c r="H66" s="90">
        <f t="shared" si="18"/>
        <v>0.97985623585703752</v>
      </c>
    </row>
    <row r="67" spans="1:10" x14ac:dyDescent="0.25">
      <c r="A67" s="76">
        <v>2015</v>
      </c>
      <c r="B67" s="88" t="s">
        <v>109</v>
      </c>
      <c r="C67" s="90">
        <f t="shared" si="12"/>
        <v>1</v>
      </c>
      <c r="D67" s="90">
        <f t="shared" si="12"/>
        <v>1</v>
      </c>
      <c r="E67" s="90">
        <f t="shared" si="12"/>
        <v>1</v>
      </c>
      <c r="F67" s="90">
        <f t="shared" ref="F67:H67" si="19">F51/F$51</f>
        <v>1</v>
      </c>
      <c r="G67" s="90">
        <f t="shared" si="19"/>
        <v>1</v>
      </c>
      <c r="H67" s="90">
        <f t="shared" si="19"/>
        <v>1</v>
      </c>
    </row>
    <row r="71" spans="1:10" ht="21" x14ac:dyDescent="0.35">
      <c r="A71" s="39" t="s">
        <v>116</v>
      </c>
      <c r="B71" s="81" t="s">
        <v>44</v>
      </c>
      <c r="C71" s="81">
        <v>2008</v>
      </c>
      <c r="D71" s="34">
        <v>2009</v>
      </c>
      <c r="E71" s="34">
        <v>2010</v>
      </c>
      <c r="F71" s="34">
        <f>E71+1</f>
        <v>2011</v>
      </c>
      <c r="G71" s="34">
        <f>F71+1</f>
        <v>2012</v>
      </c>
      <c r="H71" s="34">
        <f>G71+1</f>
        <v>2013</v>
      </c>
      <c r="I71" s="34">
        <f>H71+1</f>
        <v>2014</v>
      </c>
      <c r="J71" s="34">
        <f>I71+1</f>
        <v>2015</v>
      </c>
    </row>
    <row r="72" spans="1:10" ht="15.6" customHeight="1" x14ac:dyDescent="0.3">
      <c r="A72" s="42" t="s">
        <v>206</v>
      </c>
      <c r="B72" s="81"/>
      <c r="C72" s="81"/>
      <c r="D72" s="34"/>
      <c r="E72" s="34"/>
      <c r="F72" s="34"/>
      <c r="G72" s="34"/>
      <c r="H72" s="34"/>
      <c r="I72" s="34"/>
      <c r="J72" s="34"/>
    </row>
    <row r="73" spans="1:10" x14ac:dyDescent="0.25">
      <c r="A73" s="106" t="s">
        <v>100</v>
      </c>
      <c r="B73" s="82"/>
      <c r="C73" s="83">
        <f>INDEX($F$60:$H$67,MATCH(C$71,$A$60:$A$67,0),MATCH($A73,$F$59:$H$59,0))</f>
        <v>0.79396451860053141</v>
      </c>
      <c r="D73" s="83">
        <f t="shared" ref="D73:J75" si="20">INDEX($F$60:$H$67,MATCH(D$71,$A$60:$A$67,0),MATCH($A73,$F$59:$H$59,0))</f>
        <v>0.87340502236492479</v>
      </c>
      <c r="E73" s="83">
        <f t="shared" si="20"/>
        <v>0.85208148804251549</v>
      </c>
      <c r="F73" s="83">
        <f t="shared" si="20"/>
        <v>0.8850752878653676</v>
      </c>
      <c r="G73" s="83">
        <f t="shared" si="20"/>
        <v>0.92006200177147923</v>
      </c>
      <c r="H73" s="83">
        <f t="shared" si="20"/>
        <v>0.93932683790965454</v>
      </c>
      <c r="I73" s="83">
        <f t="shared" si="20"/>
        <v>0.96789193976970767</v>
      </c>
      <c r="J73" s="83">
        <f t="shared" si="20"/>
        <v>1</v>
      </c>
    </row>
    <row r="74" spans="1:10" x14ac:dyDescent="0.25">
      <c r="A74" s="106" t="s">
        <v>101</v>
      </c>
      <c r="B74" s="82"/>
      <c r="C74" s="83">
        <f t="shared" ref="C74:C75" si="21">INDEX($F$60:$H$67,MATCH(C$71,$A$60:$A$67,0),MATCH($A74,$F$59:$H$59,0))</f>
        <v>0.86190747227304387</v>
      </c>
      <c r="D74" s="83">
        <f t="shared" si="20"/>
        <v>0.8930212948820655</v>
      </c>
      <c r="E74" s="83">
        <f t="shared" si="20"/>
        <v>0.9112791044724825</v>
      </c>
      <c r="F74" s="83">
        <f t="shared" si="20"/>
        <v>0.926670803206742</v>
      </c>
      <c r="G74" s="83">
        <f t="shared" si="20"/>
        <v>0.94500503258137469</v>
      </c>
      <c r="H74" s="83">
        <f t="shared" si="20"/>
        <v>0.9619692749141564</v>
      </c>
      <c r="I74" s="83">
        <f t="shared" si="20"/>
        <v>0.97985623585703752</v>
      </c>
      <c r="J74" s="83">
        <f t="shared" si="20"/>
        <v>1</v>
      </c>
    </row>
    <row r="75" spans="1:10" x14ac:dyDescent="0.25">
      <c r="A75" s="106" t="s">
        <v>102</v>
      </c>
      <c r="B75" s="82"/>
      <c r="C75" s="83">
        <f t="shared" si="21"/>
        <v>0.89777436125467314</v>
      </c>
      <c r="D75" s="83">
        <f t="shared" si="20"/>
        <v>0.93342474407409881</v>
      </c>
      <c r="E75" s="83">
        <f t="shared" si="20"/>
        <v>0.94934978817617721</v>
      </c>
      <c r="F75" s="83">
        <f t="shared" si="20"/>
        <v>0.94735915766341738</v>
      </c>
      <c r="G75" s="83">
        <f t="shared" si="20"/>
        <v>0.95296911638119508</v>
      </c>
      <c r="H75" s="83">
        <f t="shared" si="20"/>
        <v>0.96434051611507754</v>
      </c>
      <c r="I75" s="83">
        <f t="shared" si="20"/>
        <v>0.97970696291981452</v>
      </c>
      <c r="J75" s="83">
        <f t="shared" si="20"/>
        <v>1</v>
      </c>
    </row>
    <row r="76" spans="1:10" ht="22.15" customHeight="1" x14ac:dyDescent="0.3">
      <c r="A76" s="42" t="s">
        <v>207</v>
      </c>
      <c r="B76" s="81"/>
      <c r="C76" s="81"/>
      <c r="D76" s="34"/>
      <c r="E76" s="34"/>
      <c r="F76" s="34"/>
      <c r="G76" s="34"/>
      <c r="H76" s="34"/>
      <c r="I76" s="34"/>
      <c r="J76" s="34"/>
    </row>
    <row r="77" spans="1:10" x14ac:dyDescent="0.25">
      <c r="A77" s="106" t="s">
        <v>100</v>
      </c>
      <c r="B77" s="82"/>
      <c r="C77" s="83">
        <f>INDEX($C$60:$E$67,MATCH(C$71,$A$60:$A$67,0),MATCH($A77,$C$59:$E$59,0))</f>
        <v>0.85451472020972352</v>
      </c>
      <c r="D77" s="83">
        <f t="shared" ref="D77:J79" si="22">INDEX($C$60:$E$67,MATCH(D$71,$A$60:$A$67,0),MATCH($A77,$C$59:$E$59,0))</f>
        <v>0.94001360367016207</v>
      </c>
      <c r="E77" s="83">
        <f t="shared" si="22"/>
        <v>0.91709800667302188</v>
      </c>
      <c r="F77" s="83">
        <f t="shared" si="22"/>
        <v>0.95252646830314591</v>
      </c>
      <c r="G77" s="83">
        <f t="shared" si="22"/>
        <v>0.99022878932316494</v>
      </c>
      <c r="H77" s="83">
        <f t="shared" si="22"/>
        <v>0.99451858913250712</v>
      </c>
      <c r="I77" s="83">
        <f t="shared" si="22"/>
        <v>1.017159199237369</v>
      </c>
      <c r="J77" s="83">
        <f t="shared" si="22"/>
        <v>1</v>
      </c>
    </row>
    <row r="78" spans="1:10" x14ac:dyDescent="0.25">
      <c r="A78" s="106" t="s">
        <v>101</v>
      </c>
      <c r="B78" s="82"/>
      <c r="C78" s="83">
        <f t="shared" ref="C78:C79" si="23">INDEX($C$60:$E$67,MATCH(C$71,$A$60:$A$67,0),MATCH($A78,$C$59:$E$59,0))</f>
        <v>0.86641133401592707</v>
      </c>
      <c r="D78" s="83">
        <f t="shared" si="22"/>
        <v>0.89768774061433454</v>
      </c>
      <c r="E78" s="83">
        <f t="shared" si="22"/>
        <v>0.91604095563139931</v>
      </c>
      <c r="F78" s="83">
        <f t="shared" si="22"/>
        <v>0.93151308304891922</v>
      </c>
      <c r="G78" s="83">
        <f t="shared" si="22"/>
        <v>0.94994311717861202</v>
      </c>
      <c r="H78" s="83">
        <f t="shared" si="22"/>
        <v>0.96769055745164956</v>
      </c>
      <c r="I78" s="83">
        <f t="shared" si="22"/>
        <v>0.98361774744027308</v>
      </c>
      <c r="J78" s="83">
        <f t="shared" si="22"/>
        <v>1</v>
      </c>
    </row>
    <row r="79" spans="1:10" x14ac:dyDescent="0.25">
      <c r="A79" s="106" t="s">
        <v>102</v>
      </c>
      <c r="B79" s="82"/>
      <c r="C79" s="83">
        <f t="shared" si="23"/>
        <v>0.89791855203619908</v>
      </c>
      <c r="D79" s="83">
        <f t="shared" si="22"/>
        <v>0.93357466063348415</v>
      </c>
      <c r="E79" s="83">
        <f t="shared" si="22"/>
        <v>0.94950226244343894</v>
      </c>
      <c r="F79" s="83">
        <f t="shared" si="22"/>
        <v>0.94751131221719453</v>
      </c>
      <c r="G79" s="83">
        <f t="shared" si="22"/>
        <v>0.95312217194570137</v>
      </c>
      <c r="H79" s="83">
        <f t="shared" si="22"/>
        <v>0.96271493212669679</v>
      </c>
      <c r="I79" s="83">
        <f t="shared" si="22"/>
        <v>0.97520361990950222</v>
      </c>
      <c r="J79" s="83">
        <f t="shared" si="22"/>
        <v>1</v>
      </c>
    </row>
  </sheetData>
  <mergeCells count="6">
    <mergeCell ref="C4:E4"/>
    <mergeCell ref="F4:H4"/>
    <mergeCell ref="C42:E42"/>
    <mergeCell ref="F42:H42"/>
    <mergeCell ref="C58:E58"/>
    <mergeCell ref="F58:H58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&amp;L&amp;F&amp;C&amp;A&amp;R&amp;P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97E55"/>
    <pageSetUpPr fitToPage="1"/>
  </sheetPr>
  <dimension ref="A1:AH98"/>
  <sheetViews>
    <sheetView showGridLines="0" view="pageBreakPreview" zoomScaleNormal="100" zoomScaleSheetLayoutView="100" workbookViewId="0"/>
  </sheetViews>
  <sheetFormatPr defaultRowHeight="15" x14ac:dyDescent="0.25"/>
  <cols>
    <col min="1" max="1" width="71.28515625" customWidth="1"/>
    <col min="2" max="2" width="12.7109375" customWidth="1"/>
    <col min="3" max="33" width="11.7109375" customWidth="1"/>
    <col min="34" max="34" width="11.7109375" style="1" customWidth="1"/>
  </cols>
  <sheetData>
    <row r="1" spans="1:10" ht="26.25" x14ac:dyDescent="0.4">
      <c r="A1" s="16" t="s">
        <v>7</v>
      </c>
    </row>
    <row r="2" spans="1:10" x14ac:dyDescent="0.25">
      <c r="A2" s="22" t="s">
        <v>4</v>
      </c>
      <c r="C2" s="20"/>
      <c r="D2" s="20"/>
    </row>
    <row r="3" spans="1:10" s="1" customFormat="1" x14ac:dyDescent="0.25">
      <c r="A3" s="22"/>
      <c r="B3" s="34" t="s">
        <v>44</v>
      </c>
      <c r="C3" s="20"/>
      <c r="D3" s="20"/>
    </row>
    <row r="4" spans="1:10" s="1" customFormat="1" x14ac:dyDescent="0.25">
      <c r="A4" s="41" t="s">
        <v>57</v>
      </c>
      <c r="B4" s="80">
        <v>8.77E-2</v>
      </c>
      <c r="C4" s="20"/>
      <c r="D4" s="20"/>
    </row>
    <row r="5" spans="1:10" s="1" customFormat="1" ht="30" customHeight="1" x14ac:dyDescent="0.35">
      <c r="A5" s="39" t="s">
        <v>41</v>
      </c>
    </row>
    <row r="6" spans="1:10" s="1" customFormat="1" x14ac:dyDescent="0.25">
      <c r="A6"/>
      <c r="B6" s="34" t="s">
        <v>44</v>
      </c>
      <c r="C6" s="34">
        <v>2008</v>
      </c>
      <c r="D6" s="34">
        <f>C6+1</f>
        <v>2009</v>
      </c>
      <c r="E6" s="34">
        <f>D6+1</f>
        <v>2010</v>
      </c>
      <c r="F6" s="34">
        <f>E6+1</f>
        <v>2011</v>
      </c>
      <c r="G6" s="34">
        <f t="shared" ref="G6:J6" si="0">F6+1</f>
        <v>2012</v>
      </c>
      <c r="H6" s="34">
        <f t="shared" si="0"/>
        <v>2013</v>
      </c>
      <c r="I6" s="34">
        <f t="shared" si="0"/>
        <v>2014</v>
      </c>
      <c r="J6" s="34">
        <f t="shared" si="0"/>
        <v>2015</v>
      </c>
    </row>
    <row r="7" spans="1:10" s="1" customFormat="1" x14ac:dyDescent="0.25">
      <c r="A7" s="40" t="s">
        <v>42</v>
      </c>
      <c r="B7" s="79">
        <v>0.6</v>
      </c>
      <c r="C7" s="34"/>
      <c r="D7" s="34"/>
      <c r="E7" s="34"/>
      <c r="F7" s="34"/>
      <c r="G7" s="34"/>
      <c r="H7" s="34"/>
      <c r="I7" s="34"/>
      <c r="J7" s="34"/>
    </row>
    <row r="8" spans="1:10" s="1" customFormat="1" x14ac:dyDescent="0.25">
      <c r="A8" s="40" t="s">
        <v>43</v>
      </c>
      <c r="B8" s="79">
        <v>0.4</v>
      </c>
      <c r="C8" s="34"/>
      <c r="D8" s="34"/>
      <c r="E8" s="34"/>
      <c r="F8" s="34"/>
      <c r="G8" s="34"/>
      <c r="H8" s="34"/>
      <c r="I8" s="34"/>
      <c r="J8" s="34"/>
    </row>
    <row r="9" spans="1:10" s="1" customFormat="1" x14ac:dyDescent="0.25">
      <c r="A9" s="41" t="s">
        <v>121</v>
      </c>
      <c r="B9" s="76"/>
      <c r="C9" s="132">
        <f>Inflators!C74</f>
        <v>0.86190747227304387</v>
      </c>
      <c r="D9" s="132">
        <f>Inflators!D74</f>
        <v>0.8930212948820655</v>
      </c>
      <c r="E9" s="132">
        <f>Inflators!E74</f>
        <v>0.9112791044724825</v>
      </c>
      <c r="F9" s="132">
        <f>Inflators!F74</f>
        <v>0.926670803206742</v>
      </c>
      <c r="G9" s="132">
        <f>Inflators!G74</f>
        <v>0.94500503258137469</v>
      </c>
      <c r="H9" s="132">
        <f>Inflators!H74</f>
        <v>0.9619692749141564</v>
      </c>
      <c r="I9" s="132">
        <f>Inflators!I74</f>
        <v>0.97985623585703752</v>
      </c>
      <c r="J9" s="132">
        <f>Inflators!J74</f>
        <v>1</v>
      </c>
    </row>
    <row r="10" spans="1:10" x14ac:dyDescent="0.25">
      <c r="A10" s="41" t="s">
        <v>122</v>
      </c>
      <c r="B10" s="76"/>
      <c r="C10" s="132">
        <f>Inflators!C73</f>
        <v>0.79396451860053141</v>
      </c>
      <c r="D10" s="132">
        <f>Inflators!D73</f>
        <v>0.87340502236492479</v>
      </c>
      <c r="E10" s="132">
        <f>Inflators!E73</f>
        <v>0.85208148804251549</v>
      </c>
      <c r="F10" s="132">
        <f>Inflators!F73</f>
        <v>0.8850752878653676</v>
      </c>
      <c r="G10" s="132">
        <f>Inflators!G73</f>
        <v>0.92006200177147923</v>
      </c>
      <c r="H10" s="132">
        <f>Inflators!H73</f>
        <v>0.93932683790965454</v>
      </c>
      <c r="I10" s="132">
        <f>Inflators!I73</f>
        <v>0.96789193976970767</v>
      </c>
      <c r="J10" s="132">
        <f>Inflators!J73</f>
        <v>1</v>
      </c>
    </row>
    <row r="11" spans="1:10" x14ac:dyDescent="0.25">
      <c r="A11" s="41" t="s">
        <v>124</v>
      </c>
      <c r="B11" s="76"/>
      <c r="C11" s="132">
        <f>Inflators!C78</f>
        <v>0.86641133401592707</v>
      </c>
      <c r="D11" s="132">
        <f>Inflators!D78</f>
        <v>0.89768774061433454</v>
      </c>
      <c r="E11" s="132">
        <f>Inflators!E78</f>
        <v>0.91604095563139931</v>
      </c>
      <c r="F11" s="132">
        <f>Inflators!F78</f>
        <v>0.93151308304891922</v>
      </c>
      <c r="G11" s="132">
        <f>Inflators!G78</f>
        <v>0.94994311717861202</v>
      </c>
      <c r="H11" s="132">
        <f>Inflators!H78</f>
        <v>0.96769055745164956</v>
      </c>
      <c r="I11" s="132">
        <f>Inflators!I78</f>
        <v>0.98361774744027308</v>
      </c>
      <c r="J11" s="132">
        <f>Inflators!J78</f>
        <v>1</v>
      </c>
    </row>
    <row r="12" spans="1:10" x14ac:dyDescent="0.25">
      <c r="A12" s="41" t="s">
        <v>125</v>
      </c>
      <c r="B12" s="76"/>
      <c r="C12" s="132">
        <f>Inflators!C77</f>
        <v>0.85451472020972352</v>
      </c>
      <c r="D12" s="132">
        <f>Inflators!D77</f>
        <v>0.94001360367016207</v>
      </c>
      <c r="E12" s="132">
        <f>Inflators!E77</f>
        <v>0.91709800667302188</v>
      </c>
      <c r="F12" s="132">
        <f>Inflators!F77</f>
        <v>0.95252646830314591</v>
      </c>
      <c r="G12" s="132">
        <f>Inflators!G77</f>
        <v>0.99022878932316494</v>
      </c>
      <c r="H12" s="132">
        <f>Inflators!H77</f>
        <v>0.99451858913250712</v>
      </c>
      <c r="I12" s="132">
        <f>Inflators!I77</f>
        <v>1.017159199237369</v>
      </c>
      <c r="J12" s="132">
        <f>Inflators!J77</f>
        <v>1</v>
      </c>
    </row>
    <row r="13" spans="1:10" s="1" customFormat="1" x14ac:dyDescent="0.25">
      <c r="A13" s="41" t="s">
        <v>123</v>
      </c>
      <c r="B13" s="76"/>
      <c r="C13" s="132">
        <f>Inflators!C75</f>
        <v>0.89777436125467314</v>
      </c>
      <c r="D13" s="132">
        <f>Inflators!D75</f>
        <v>0.93342474407409881</v>
      </c>
      <c r="E13" s="132">
        <f>Inflators!E75</f>
        <v>0.94934978817617721</v>
      </c>
      <c r="F13" s="132">
        <f>Inflators!F75</f>
        <v>0.94735915766341738</v>
      </c>
      <c r="G13" s="132">
        <f>Inflators!G75</f>
        <v>0.95296911638119508</v>
      </c>
      <c r="H13" s="132">
        <f>Inflators!H75</f>
        <v>0.96434051611507754</v>
      </c>
      <c r="I13" s="132">
        <f>Inflators!I75</f>
        <v>0.97970696291981452</v>
      </c>
      <c r="J13" s="132">
        <f>Inflators!J75</f>
        <v>1</v>
      </c>
    </row>
    <row r="14" spans="1:10" s="1" customFormat="1" x14ac:dyDescent="0.25">
      <c r="A14" s="41" t="s">
        <v>126</v>
      </c>
      <c r="B14" s="41"/>
      <c r="C14" s="132">
        <f>Inflators!C79</f>
        <v>0.89791855203619908</v>
      </c>
      <c r="D14" s="132">
        <f>Inflators!D79</f>
        <v>0.93357466063348415</v>
      </c>
      <c r="E14" s="132">
        <f>Inflators!E79</f>
        <v>0.94950226244343894</v>
      </c>
      <c r="F14" s="132">
        <f>Inflators!F79</f>
        <v>0.94751131221719453</v>
      </c>
      <c r="G14" s="132">
        <f>Inflators!G79</f>
        <v>0.95312217194570137</v>
      </c>
      <c r="H14" s="132">
        <f>Inflators!H79</f>
        <v>0.96271493212669679</v>
      </c>
      <c r="I14" s="132">
        <f>Inflators!I79</f>
        <v>0.97520361990950222</v>
      </c>
      <c r="J14" s="132">
        <f>Inflators!J79</f>
        <v>1</v>
      </c>
    </row>
    <row r="16" spans="1:10" s="1" customFormat="1" ht="18.75" x14ac:dyDescent="0.3">
      <c r="A16" s="31" t="s">
        <v>11</v>
      </c>
      <c r="D16" s="21"/>
    </row>
    <row r="17" spans="1:34" s="32" customFormat="1" x14ac:dyDescent="0.25">
      <c r="A17" s="77" t="s">
        <v>140</v>
      </c>
      <c r="B17" s="35"/>
      <c r="C17" s="78">
        <v>1</v>
      </c>
      <c r="D17" s="78">
        <v>1</v>
      </c>
      <c r="E17" s="78">
        <v>0</v>
      </c>
      <c r="F17" s="78">
        <v>1</v>
      </c>
      <c r="G17" s="78">
        <v>0</v>
      </c>
      <c r="H17" s="78">
        <v>1</v>
      </c>
      <c r="I17" s="78">
        <v>0</v>
      </c>
      <c r="J17" s="78">
        <v>1</v>
      </c>
      <c r="K17" s="78">
        <v>1</v>
      </c>
      <c r="L17" s="78">
        <v>1</v>
      </c>
      <c r="M17" s="78">
        <v>0</v>
      </c>
      <c r="N17" s="78">
        <v>0</v>
      </c>
      <c r="O17" s="78">
        <v>1</v>
      </c>
      <c r="P17" s="78">
        <v>1</v>
      </c>
      <c r="Q17" s="78">
        <v>0</v>
      </c>
      <c r="R17" s="78">
        <v>0</v>
      </c>
      <c r="S17" s="78">
        <v>1</v>
      </c>
      <c r="T17" s="78">
        <v>1</v>
      </c>
      <c r="U17" s="78">
        <v>1</v>
      </c>
      <c r="V17" s="78">
        <v>0</v>
      </c>
      <c r="W17" s="78">
        <v>1</v>
      </c>
      <c r="X17" s="78">
        <v>0</v>
      </c>
      <c r="Y17" s="78">
        <v>1</v>
      </c>
      <c r="Z17" s="78">
        <v>1</v>
      </c>
      <c r="AA17" s="78">
        <v>1</v>
      </c>
      <c r="AB17" s="78">
        <v>0</v>
      </c>
      <c r="AC17" s="78">
        <v>0</v>
      </c>
      <c r="AD17" s="78">
        <v>1</v>
      </c>
      <c r="AE17" s="78">
        <v>0</v>
      </c>
      <c r="AF17" s="78"/>
      <c r="AG17" s="78"/>
      <c r="AH17" s="78"/>
    </row>
    <row r="18" spans="1:34" s="32" customFormat="1" ht="34.9" customHeight="1" x14ac:dyDescent="0.25">
      <c r="A18" s="33"/>
      <c r="B18" s="33"/>
      <c r="C18" s="33" t="s">
        <v>12</v>
      </c>
      <c r="D18" s="33" t="s">
        <v>13</v>
      </c>
      <c r="E18" s="33" t="s">
        <v>3</v>
      </c>
      <c r="F18" s="33" t="s">
        <v>14</v>
      </c>
      <c r="G18" s="33" t="s">
        <v>15</v>
      </c>
      <c r="H18" s="33" t="s">
        <v>166</v>
      </c>
      <c r="I18" s="33" t="s">
        <v>16</v>
      </c>
      <c r="J18" s="33" t="s">
        <v>17</v>
      </c>
      <c r="K18" s="33" t="s">
        <v>18</v>
      </c>
      <c r="L18" s="33" t="s">
        <v>19</v>
      </c>
      <c r="M18" s="33" t="s">
        <v>168</v>
      </c>
      <c r="N18" s="33" t="s">
        <v>20</v>
      </c>
      <c r="O18" s="33" t="s">
        <v>21</v>
      </c>
      <c r="P18" s="33" t="s">
        <v>22</v>
      </c>
      <c r="Q18" s="33" t="s">
        <v>23</v>
      </c>
      <c r="R18" s="33" t="s">
        <v>24</v>
      </c>
      <c r="S18" s="33" t="s">
        <v>25</v>
      </c>
      <c r="T18" s="34" t="s">
        <v>26</v>
      </c>
      <c r="U18" s="34" t="s">
        <v>27</v>
      </c>
      <c r="V18" s="34" t="s">
        <v>28</v>
      </c>
      <c r="W18" s="34" t="s">
        <v>29</v>
      </c>
      <c r="X18" s="34" t="s">
        <v>30</v>
      </c>
      <c r="Y18" s="34" t="s">
        <v>31</v>
      </c>
      <c r="Z18" s="34" t="s">
        <v>165</v>
      </c>
      <c r="AA18" s="34" t="s">
        <v>167</v>
      </c>
      <c r="AB18" s="34" t="s">
        <v>32</v>
      </c>
      <c r="AC18" s="34" t="s">
        <v>164</v>
      </c>
      <c r="AD18" s="34" t="s">
        <v>33</v>
      </c>
      <c r="AE18" s="34" t="s">
        <v>34</v>
      </c>
      <c r="AF18" s="34" t="s">
        <v>141</v>
      </c>
      <c r="AG18" s="34" t="s">
        <v>139</v>
      </c>
      <c r="AH18" s="34" t="s">
        <v>162</v>
      </c>
    </row>
    <row r="19" spans="1:34" s="32" customFormat="1" x14ac:dyDescent="0.25">
      <c r="A19" s="38"/>
      <c r="B19" s="35"/>
      <c r="C19" s="36">
        <v>1</v>
      </c>
      <c r="D19" s="36">
        <f>C19+1</f>
        <v>2</v>
      </c>
      <c r="E19" s="36">
        <f t="shared" ref="E19:AH19" si="1">D19+1</f>
        <v>3</v>
      </c>
      <c r="F19" s="36">
        <f t="shared" si="1"/>
        <v>4</v>
      </c>
      <c r="G19" s="36">
        <f t="shared" si="1"/>
        <v>5</v>
      </c>
      <c r="H19" s="36">
        <f t="shared" si="1"/>
        <v>6</v>
      </c>
      <c r="I19" s="36">
        <f t="shared" si="1"/>
        <v>7</v>
      </c>
      <c r="J19" s="36">
        <f t="shared" si="1"/>
        <v>8</v>
      </c>
      <c r="K19" s="36">
        <f t="shared" si="1"/>
        <v>9</v>
      </c>
      <c r="L19" s="36">
        <f t="shared" si="1"/>
        <v>10</v>
      </c>
      <c r="M19" s="36">
        <f t="shared" si="1"/>
        <v>11</v>
      </c>
      <c r="N19" s="36">
        <f t="shared" si="1"/>
        <v>12</v>
      </c>
      <c r="O19" s="36">
        <f t="shared" si="1"/>
        <v>13</v>
      </c>
      <c r="P19" s="36">
        <f t="shared" si="1"/>
        <v>14</v>
      </c>
      <c r="Q19" s="36">
        <f t="shared" si="1"/>
        <v>15</v>
      </c>
      <c r="R19" s="36">
        <f t="shared" si="1"/>
        <v>16</v>
      </c>
      <c r="S19" s="36">
        <f t="shared" si="1"/>
        <v>17</v>
      </c>
      <c r="T19" s="36">
        <f t="shared" si="1"/>
        <v>18</v>
      </c>
      <c r="U19" s="36">
        <f t="shared" si="1"/>
        <v>19</v>
      </c>
      <c r="V19" s="36">
        <f t="shared" si="1"/>
        <v>20</v>
      </c>
      <c r="W19" s="36">
        <f t="shared" si="1"/>
        <v>21</v>
      </c>
      <c r="X19" s="36">
        <f t="shared" si="1"/>
        <v>22</v>
      </c>
      <c r="Y19" s="36">
        <f t="shared" si="1"/>
        <v>23</v>
      </c>
      <c r="Z19" s="36">
        <f t="shared" si="1"/>
        <v>24</v>
      </c>
      <c r="AA19" s="36">
        <f t="shared" si="1"/>
        <v>25</v>
      </c>
      <c r="AB19" s="36">
        <f t="shared" si="1"/>
        <v>26</v>
      </c>
      <c r="AC19" s="36">
        <f t="shared" si="1"/>
        <v>27</v>
      </c>
      <c r="AD19" s="36">
        <f t="shared" si="1"/>
        <v>28</v>
      </c>
      <c r="AE19" s="36">
        <f t="shared" si="1"/>
        <v>29</v>
      </c>
      <c r="AF19" s="36">
        <f t="shared" si="1"/>
        <v>30</v>
      </c>
      <c r="AG19" s="36">
        <f t="shared" si="1"/>
        <v>31</v>
      </c>
      <c r="AH19" s="36">
        <f t="shared" si="1"/>
        <v>32</v>
      </c>
    </row>
    <row r="20" spans="1:34" s="32" customFormat="1" x14ac:dyDescent="0.25">
      <c r="A20" s="34" t="s">
        <v>133</v>
      </c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4" s="32" customFormat="1" x14ac:dyDescent="0.25">
      <c r="A21" s="35" t="str">
        <f>$A$20&amp;",  2010/11"</f>
        <v>Actual network operational expenditure (excluding pass through costs),  2010/11</v>
      </c>
      <c r="B21" s="38" t="s">
        <v>38</v>
      </c>
      <c r="C21" s="36">
        <v>4959.2709999999997</v>
      </c>
      <c r="D21" s="36">
        <v>8452</v>
      </c>
      <c r="E21" s="36">
        <v>840.56106</v>
      </c>
      <c r="F21" s="36">
        <v>1380</v>
      </c>
      <c r="G21" s="36">
        <v>3824</v>
      </c>
      <c r="H21" s="36">
        <v>2099</v>
      </c>
      <c r="I21" s="36">
        <v>3902</v>
      </c>
      <c r="J21" s="36">
        <v>1793</v>
      </c>
      <c r="K21" s="36">
        <v>1282</v>
      </c>
      <c r="L21" s="36">
        <v>2034.70262</v>
      </c>
      <c r="M21" s="36">
        <v>3464</v>
      </c>
      <c r="N21" s="36">
        <v>7649.4</v>
      </c>
      <c r="O21" s="36">
        <v>328</v>
      </c>
      <c r="P21" s="36">
        <v>3828.0214800000012</v>
      </c>
      <c r="Q21" s="36">
        <v>1348</v>
      </c>
      <c r="R21" s="36">
        <v>6116</v>
      </c>
      <c r="S21" s="36">
        <v>0</v>
      </c>
      <c r="T21" s="36">
        <v>3236</v>
      </c>
      <c r="U21" s="36">
        <v>26732.983019999974</v>
      </c>
      <c r="V21" s="36">
        <v>825</v>
      </c>
      <c r="W21" s="36">
        <v>2462</v>
      </c>
      <c r="X21" s="36">
        <v>6142</v>
      </c>
      <c r="Y21" s="36">
        <v>5979</v>
      </c>
      <c r="Z21" s="36">
        <v>9012.6789499999995</v>
      </c>
      <c r="AA21" s="36">
        <v>38622</v>
      </c>
      <c r="AB21" s="36">
        <v>7060.5782440626144</v>
      </c>
      <c r="AC21" s="36">
        <v>2563.5756799999999</v>
      </c>
      <c r="AD21" s="36">
        <v>9915.0245399999985</v>
      </c>
      <c r="AE21" s="36">
        <v>4823</v>
      </c>
      <c r="AF21" s="127">
        <f>SUM(C21:AE21)-S21</f>
        <v>170673.79659406259</v>
      </c>
      <c r="AG21" s="127">
        <f>SUMIF($C$17:$AE$17,1,C21:AE21)-S21</f>
        <v>122115.68160999997</v>
      </c>
      <c r="AH21" s="127">
        <f>SUMIF($C$17:$AE$17,0,C21:AE21)</f>
        <v>48558.114984062617</v>
      </c>
    </row>
    <row r="22" spans="1:34" s="32" customFormat="1" x14ac:dyDescent="0.25">
      <c r="A22" s="35" t="str">
        <f>$A$20&amp;",  2011/12"</f>
        <v>Actual network operational expenditure (excluding pass through costs),  2011/12</v>
      </c>
      <c r="B22" s="38" t="s">
        <v>38</v>
      </c>
      <c r="C22" s="36">
        <v>4094.1601800000003</v>
      </c>
      <c r="D22" s="36">
        <v>9293</v>
      </c>
      <c r="E22" s="36">
        <v>1006.5209808220902</v>
      </c>
      <c r="F22" s="36">
        <v>1401</v>
      </c>
      <c r="G22" s="36">
        <v>3470</v>
      </c>
      <c r="H22" s="36">
        <v>2459.8289999999997</v>
      </c>
      <c r="I22" s="36">
        <v>5035</v>
      </c>
      <c r="J22" s="36">
        <v>1552</v>
      </c>
      <c r="K22" s="36">
        <v>1395</v>
      </c>
      <c r="L22" s="36">
        <v>2243.71153</v>
      </c>
      <c r="M22" s="36">
        <v>3220</v>
      </c>
      <c r="N22" s="36">
        <v>8110</v>
      </c>
      <c r="O22" s="36">
        <v>437</v>
      </c>
      <c r="P22" s="36">
        <v>3886.9235800000001</v>
      </c>
      <c r="Q22" s="36">
        <v>1748.3627199999999</v>
      </c>
      <c r="R22" s="36">
        <v>5856</v>
      </c>
      <c r="S22" s="36">
        <v>30339</v>
      </c>
      <c r="T22" s="36">
        <v>3549</v>
      </c>
      <c r="U22" s="36">
        <v>30330.019469999999</v>
      </c>
      <c r="V22" s="36">
        <v>877</v>
      </c>
      <c r="W22" s="36">
        <v>3002.312492</v>
      </c>
      <c r="X22" s="36">
        <v>6616</v>
      </c>
      <c r="Y22" s="36">
        <v>6827.79</v>
      </c>
      <c r="Z22" s="36">
        <v>9549.1568000000007</v>
      </c>
      <c r="AA22" s="36">
        <v>39402</v>
      </c>
      <c r="AB22" s="36">
        <v>6945.3067869582737</v>
      </c>
      <c r="AC22" s="36">
        <v>1721.8195600000001</v>
      </c>
      <c r="AD22" s="36">
        <v>10287.134309999999</v>
      </c>
      <c r="AE22" s="36">
        <v>4696</v>
      </c>
      <c r="AF22" s="127">
        <f t="shared" ref="AF22" si="2">SUM(C22:AE22)-S22</f>
        <v>179012.04740978035</v>
      </c>
      <c r="AG22" s="127">
        <f t="shared" ref="AG22" si="3">SUMIF($C$17:$AE$17,1,C22:AE22)-S22</f>
        <v>129710.03736199997</v>
      </c>
      <c r="AH22" s="127">
        <f t="shared" ref="AH22" si="4">SUMIF($C$17:$AE$17,0,C22:AE22)</f>
        <v>49302.010047780364</v>
      </c>
    </row>
    <row r="23" spans="1:34" s="32" customFormat="1" x14ac:dyDescent="0.25">
      <c r="A23" s="35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26"/>
      <c r="AG23" s="126"/>
      <c r="AH23" s="126"/>
    </row>
    <row r="24" spans="1:34" s="32" customFormat="1" x14ac:dyDescent="0.25">
      <c r="A24" s="34" t="s">
        <v>132</v>
      </c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126"/>
      <c r="AG24" s="126"/>
      <c r="AH24" s="126"/>
    </row>
    <row r="25" spans="1:34" s="32" customFormat="1" x14ac:dyDescent="0.25">
      <c r="A25" s="35" t="str">
        <f>$A$24&amp;",  2010/11"</f>
        <v>Actual non-network operational expenditure (excluding pass through costs),  2010/11</v>
      </c>
      <c r="B25" s="38" t="s">
        <v>38</v>
      </c>
      <c r="C25" s="36">
        <v>6250.8050000000012</v>
      </c>
      <c r="D25" s="36">
        <v>9360</v>
      </c>
      <c r="E25" s="36">
        <v>1984.8519000000001</v>
      </c>
      <c r="F25" s="36">
        <v>1800</v>
      </c>
      <c r="G25" s="36">
        <v>6019</v>
      </c>
      <c r="H25" s="36">
        <v>3431</v>
      </c>
      <c r="I25" s="36">
        <v>3537</v>
      </c>
      <c r="J25" s="36">
        <v>4306</v>
      </c>
      <c r="K25" s="36">
        <v>3083</v>
      </c>
      <c r="L25" s="36">
        <v>4592.4397099999996</v>
      </c>
      <c r="M25" s="36">
        <v>6645</v>
      </c>
      <c r="N25" s="36">
        <v>8695</v>
      </c>
      <c r="O25" s="36">
        <v>1423</v>
      </c>
      <c r="P25" s="36">
        <v>3983.6130300000013</v>
      </c>
      <c r="Q25" s="36">
        <v>1516</v>
      </c>
      <c r="R25" s="36">
        <v>6557.732</v>
      </c>
      <c r="S25" s="36">
        <v>0</v>
      </c>
      <c r="T25" s="36">
        <v>1746</v>
      </c>
      <c r="U25" s="36">
        <v>28402.062613115908</v>
      </c>
      <c r="V25" s="36">
        <v>1029</v>
      </c>
      <c r="W25" s="36">
        <v>4685.3181250000016</v>
      </c>
      <c r="X25" s="36">
        <v>4666</v>
      </c>
      <c r="Y25" s="36">
        <v>6212</v>
      </c>
      <c r="Z25" s="36">
        <v>19813.494480000019</v>
      </c>
      <c r="AA25" s="36">
        <v>46296</v>
      </c>
      <c r="AB25" s="36">
        <v>8748.2243567537134</v>
      </c>
      <c r="AC25" s="36">
        <v>2732.32179</v>
      </c>
      <c r="AD25" s="36">
        <v>19587.766439999999</v>
      </c>
      <c r="AE25" s="36">
        <v>2628</v>
      </c>
      <c r="AF25" s="127">
        <f>SUM(C25:AE25)-S25</f>
        <v>219730.62944486964</v>
      </c>
      <c r="AG25" s="127">
        <f t="shared" ref="AG25:AG26" si="5">SUMIF($C$17:$AE$17,1,C25:AE25)-S25</f>
        <v>164972.49939811594</v>
      </c>
      <c r="AH25" s="127">
        <f t="shared" ref="AH25:AH26" si="6">SUMIF($C$17:$AE$17,0,C25:AE25)</f>
        <v>54758.130046753715</v>
      </c>
    </row>
    <row r="26" spans="1:34" s="32" customFormat="1" x14ac:dyDescent="0.25">
      <c r="A26" s="35" t="str">
        <f>$A$24&amp;",  2011/12"</f>
        <v>Actual non-network operational expenditure (excluding pass through costs),  2011/12</v>
      </c>
      <c r="B26" s="38" t="s">
        <v>38</v>
      </c>
      <c r="C26" s="36">
        <v>8175.7128170000005</v>
      </c>
      <c r="D26" s="36">
        <v>9839</v>
      </c>
      <c r="E26" s="36">
        <v>2386.8894100000002</v>
      </c>
      <c r="F26" s="36">
        <v>1989</v>
      </c>
      <c r="G26" s="36">
        <v>5916.6010000000006</v>
      </c>
      <c r="H26" s="36">
        <v>3243.2420000000002</v>
      </c>
      <c r="I26" s="36">
        <v>4228</v>
      </c>
      <c r="J26" s="36">
        <v>5348</v>
      </c>
      <c r="K26" s="36">
        <v>3309</v>
      </c>
      <c r="L26" s="36">
        <v>4465.0294500000009</v>
      </c>
      <c r="M26" s="36">
        <v>6559</v>
      </c>
      <c r="N26" s="36">
        <v>5146</v>
      </c>
      <c r="O26" s="36">
        <v>1557</v>
      </c>
      <c r="P26" s="36">
        <v>4472.0631000000003</v>
      </c>
      <c r="Q26" s="36">
        <v>1814.3813260000002</v>
      </c>
      <c r="R26" s="36">
        <v>6801</v>
      </c>
      <c r="S26" s="36">
        <v>25889</v>
      </c>
      <c r="T26" s="36">
        <v>2306</v>
      </c>
      <c r="U26" s="36">
        <v>33801.062946153572</v>
      </c>
      <c r="V26" s="36">
        <v>1137</v>
      </c>
      <c r="W26" s="36">
        <v>5669.5304920000053</v>
      </c>
      <c r="X26" s="36">
        <v>5031</v>
      </c>
      <c r="Y26" s="36">
        <v>7556.2100000000009</v>
      </c>
      <c r="Z26" s="36">
        <v>19759.17499999997</v>
      </c>
      <c r="AA26" s="36">
        <v>51100</v>
      </c>
      <c r="AB26" s="36">
        <v>9579.7893992880236</v>
      </c>
      <c r="AC26" s="36">
        <v>2818.6055200000001</v>
      </c>
      <c r="AD26" s="36">
        <v>18421.108610000003</v>
      </c>
      <c r="AE26" s="36">
        <v>3203</v>
      </c>
      <c r="AF26" s="127">
        <f t="shared" ref="AF26" si="7">SUM(C26:AE26)-S26</f>
        <v>235632.40107044156</v>
      </c>
      <c r="AG26" s="127">
        <f t="shared" si="5"/>
        <v>181011.13441515353</v>
      </c>
      <c r="AH26" s="127">
        <f t="shared" si="6"/>
        <v>54621.266655288026</v>
      </c>
    </row>
    <row r="27" spans="1:34" s="32" customFormat="1" x14ac:dyDescent="0.25">
      <c r="A27" s="35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126"/>
      <c r="AG27" s="126"/>
      <c r="AH27" s="126"/>
    </row>
    <row r="28" spans="1:34" s="32" customFormat="1" x14ac:dyDescent="0.25">
      <c r="A28" s="33" t="s">
        <v>131</v>
      </c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126"/>
      <c r="AG28" s="126"/>
      <c r="AH28" s="126"/>
    </row>
    <row r="29" spans="1:34" s="32" customFormat="1" x14ac:dyDescent="0.25">
      <c r="A29" s="35" t="str">
        <f>$A$28&amp;",  2010/11"</f>
        <v>Actual operational expenditure (excluding pass through costs),  2010/11</v>
      </c>
      <c r="B29" s="38"/>
      <c r="C29" s="127">
        <f t="shared" ref="C29:AE29" si="8">C21+C25</f>
        <v>11210.076000000001</v>
      </c>
      <c r="D29" s="127">
        <f t="shared" si="8"/>
        <v>17812</v>
      </c>
      <c r="E29" s="127">
        <f t="shared" si="8"/>
        <v>2825.4129600000001</v>
      </c>
      <c r="F29" s="127">
        <f t="shared" si="8"/>
        <v>3180</v>
      </c>
      <c r="G29" s="127">
        <f t="shared" si="8"/>
        <v>9843</v>
      </c>
      <c r="H29" s="127">
        <f t="shared" si="8"/>
        <v>5530</v>
      </c>
      <c r="I29" s="127">
        <f t="shared" si="8"/>
        <v>7439</v>
      </c>
      <c r="J29" s="127">
        <f t="shared" si="8"/>
        <v>6099</v>
      </c>
      <c r="K29" s="127">
        <f t="shared" si="8"/>
        <v>4365</v>
      </c>
      <c r="L29" s="127">
        <f t="shared" si="8"/>
        <v>6627.1423299999997</v>
      </c>
      <c r="M29" s="127">
        <f t="shared" si="8"/>
        <v>10109</v>
      </c>
      <c r="N29" s="127">
        <f t="shared" si="8"/>
        <v>16344.4</v>
      </c>
      <c r="O29" s="127">
        <f t="shared" si="8"/>
        <v>1751</v>
      </c>
      <c r="P29" s="127">
        <f t="shared" si="8"/>
        <v>7811.6345100000026</v>
      </c>
      <c r="Q29" s="127">
        <f t="shared" si="8"/>
        <v>2864</v>
      </c>
      <c r="R29" s="127">
        <f t="shared" si="8"/>
        <v>12673.732</v>
      </c>
      <c r="S29" s="127">
        <f t="shared" si="8"/>
        <v>0</v>
      </c>
      <c r="T29" s="127">
        <f t="shared" si="8"/>
        <v>4982</v>
      </c>
      <c r="U29" s="127">
        <f t="shared" si="8"/>
        <v>55135.045633115878</v>
      </c>
      <c r="V29" s="127">
        <f t="shared" si="8"/>
        <v>1854</v>
      </c>
      <c r="W29" s="127">
        <f t="shared" si="8"/>
        <v>7147.3181250000016</v>
      </c>
      <c r="X29" s="127">
        <f t="shared" si="8"/>
        <v>10808</v>
      </c>
      <c r="Y29" s="127">
        <f t="shared" si="8"/>
        <v>12191</v>
      </c>
      <c r="Z29" s="127">
        <f t="shared" si="8"/>
        <v>28826.173430000017</v>
      </c>
      <c r="AA29" s="127">
        <f t="shared" si="8"/>
        <v>84918</v>
      </c>
      <c r="AB29" s="127">
        <f t="shared" si="8"/>
        <v>15808.802600816329</v>
      </c>
      <c r="AC29" s="127">
        <f t="shared" si="8"/>
        <v>5295.8974699999999</v>
      </c>
      <c r="AD29" s="127">
        <f t="shared" si="8"/>
        <v>29502.790979999998</v>
      </c>
      <c r="AE29" s="127">
        <f t="shared" si="8"/>
        <v>7451</v>
      </c>
      <c r="AF29" s="127">
        <f t="shared" ref="AF29:AF33" si="9">SUM(C29:AE29)-S29</f>
        <v>390404.42603893229</v>
      </c>
      <c r="AG29" s="127">
        <f t="shared" ref="AG29:AG33" si="10">SUMIF($C$17:$AE$17,1,C29:AE29)-S29</f>
        <v>287088.18100811593</v>
      </c>
      <c r="AH29" s="127">
        <f t="shared" ref="AH29:AH33" si="11">SUMIF($C$17:$AE$17,0,C29:AE29)</f>
        <v>103316.24503081632</v>
      </c>
    </row>
    <row r="30" spans="1:34" s="32" customFormat="1" x14ac:dyDescent="0.25">
      <c r="A30" s="35" t="str">
        <f>$A$28&amp;",  2011/12"</f>
        <v>Actual operational expenditure (excluding pass through costs),  2011/12</v>
      </c>
      <c r="B30" s="38" t="s">
        <v>35</v>
      </c>
      <c r="C30" s="127">
        <f t="shared" ref="C30:AE30" si="12">C22+C26</f>
        <v>12269.872997</v>
      </c>
      <c r="D30" s="127">
        <f t="shared" si="12"/>
        <v>19132</v>
      </c>
      <c r="E30" s="127">
        <f t="shared" si="12"/>
        <v>3393.4103908220904</v>
      </c>
      <c r="F30" s="127">
        <f t="shared" si="12"/>
        <v>3390</v>
      </c>
      <c r="G30" s="127">
        <f t="shared" si="12"/>
        <v>9386.6010000000006</v>
      </c>
      <c r="H30" s="127">
        <f t="shared" si="12"/>
        <v>5703.0709999999999</v>
      </c>
      <c r="I30" s="127">
        <f t="shared" si="12"/>
        <v>9263</v>
      </c>
      <c r="J30" s="127">
        <f t="shared" si="12"/>
        <v>6900</v>
      </c>
      <c r="K30" s="127">
        <f t="shared" si="12"/>
        <v>4704</v>
      </c>
      <c r="L30" s="127">
        <f t="shared" si="12"/>
        <v>6708.7409800000005</v>
      </c>
      <c r="M30" s="127">
        <f t="shared" si="12"/>
        <v>9779</v>
      </c>
      <c r="N30" s="127">
        <f t="shared" si="12"/>
        <v>13256</v>
      </c>
      <c r="O30" s="127">
        <f t="shared" si="12"/>
        <v>1994</v>
      </c>
      <c r="P30" s="127">
        <f t="shared" si="12"/>
        <v>8358.98668</v>
      </c>
      <c r="Q30" s="127">
        <f t="shared" si="12"/>
        <v>3562.7440459999998</v>
      </c>
      <c r="R30" s="127">
        <f t="shared" si="12"/>
        <v>12657</v>
      </c>
      <c r="S30" s="127">
        <f t="shared" si="12"/>
        <v>56228</v>
      </c>
      <c r="T30" s="127">
        <f t="shared" si="12"/>
        <v>5855</v>
      </c>
      <c r="U30" s="127">
        <f t="shared" si="12"/>
        <v>64131.082416153571</v>
      </c>
      <c r="V30" s="127">
        <f t="shared" si="12"/>
        <v>2014</v>
      </c>
      <c r="W30" s="127">
        <f t="shared" si="12"/>
        <v>8671.8429840000063</v>
      </c>
      <c r="X30" s="127">
        <f t="shared" si="12"/>
        <v>11647</v>
      </c>
      <c r="Y30" s="127">
        <f t="shared" si="12"/>
        <v>14384</v>
      </c>
      <c r="Z30" s="127">
        <f t="shared" si="12"/>
        <v>29308.331799999971</v>
      </c>
      <c r="AA30" s="127">
        <f t="shared" si="12"/>
        <v>90502</v>
      </c>
      <c r="AB30" s="127">
        <f t="shared" si="12"/>
        <v>16525.096186246297</v>
      </c>
      <c r="AC30" s="127">
        <f t="shared" si="12"/>
        <v>4540.42508</v>
      </c>
      <c r="AD30" s="127">
        <f t="shared" si="12"/>
        <v>28708.242920000004</v>
      </c>
      <c r="AE30" s="127">
        <f t="shared" si="12"/>
        <v>7899</v>
      </c>
      <c r="AF30" s="127">
        <f t="shared" si="9"/>
        <v>414644.44848022197</v>
      </c>
      <c r="AG30" s="127">
        <f t="shared" si="10"/>
        <v>310721.17177715356</v>
      </c>
      <c r="AH30" s="127">
        <f t="shared" si="11"/>
        <v>103923.2767030684</v>
      </c>
    </row>
    <row r="31" spans="1:34" s="32" customFormat="1" x14ac:dyDescent="0.25">
      <c r="A31" s="35" t="str">
        <f>$A$28&amp;",  2012/13"</f>
        <v>Actual operational expenditure (excluding pass through costs),  2012/13</v>
      </c>
      <c r="B31" s="38" t="s">
        <v>35</v>
      </c>
      <c r="C31" s="36">
        <v>12301.3112</v>
      </c>
      <c r="D31" s="36">
        <v>18641</v>
      </c>
      <c r="E31" s="36">
        <v>4291.8507702757597</v>
      </c>
      <c r="F31" s="36">
        <v>4107</v>
      </c>
      <c r="G31" s="36">
        <v>9414.26361</v>
      </c>
      <c r="H31" s="36">
        <v>7445.1994499999992</v>
      </c>
      <c r="I31" s="36">
        <v>8513</v>
      </c>
      <c r="J31" s="36">
        <v>7665</v>
      </c>
      <c r="K31" s="36">
        <v>5375.3869999999997</v>
      </c>
      <c r="L31" s="36">
        <v>6992.3367739845071</v>
      </c>
      <c r="M31" s="36">
        <v>10684.857</v>
      </c>
      <c r="N31" s="36">
        <v>11574</v>
      </c>
      <c r="O31" s="36">
        <v>2324.0830000000001</v>
      </c>
      <c r="P31" s="36">
        <v>8429</v>
      </c>
      <c r="Q31" s="36">
        <v>3538.4829764999999</v>
      </c>
      <c r="R31" s="36">
        <v>15276.37235760043</v>
      </c>
      <c r="S31" s="36">
        <v>47970</v>
      </c>
      <c r="T31" s="37">
        <v>6257.2179999999998</v>
      </c>
      <c r="U31" s="37">
        <v>65355.319773354822</v>
      </c>
      <c r="V31" s="37">
        <v>2317</v>
      </c>
      <c r="W31" s="37">
        <v>9736.5836439999948</v>
      </c>
      <c r="X31" s="37">
        <v>13464.701999999999</v>
      </c>
      <c r="Y31" s="37">
        <v>12763.15617465926</v>
      </c>
      <c r="Z31" s="37">
        <v>32224.174999999999</v>
      </c>
      <c r="AA31" s="37">
        <v>95112</v>
      </c>
      <c r="AB31" s="37">
        <v>18419.232619999999</v>
      </c>
      <c r="AC31" s="37">
        <v>4753</v>
      </c>
      <c r="AD31" s="37">
        <v>28298.361239999998</v>
      </c>
      <c r="AE31" s="37">
        <v>7798</v>
      </c>
      <c r="AF31" s="127">
        <f t="shared" si="9"/>
        <v>433071.8925903748</v>
      </c>
      <c r="AG31" s="127">
        <f t="shared" si="10"/>
        <v>323027.13125599857</v>
      </c>
      <c r="AH31" s="127">
        <f t="shared" si="11"/>
        <v>110044.76133437619</v>
      </c>
    </row>
    <row r="32" spans="1:34" s="32" customFormat="1" x14ac:dyDescent="0.25">
      <c r="A32" s="35" t="str">
        <f>$A$28&amp;",  2013/14"</f>
        <v>Actual operational expenditure (excluding pass through costs),  2013/14</v>
      </c>
      <c r="B32" s="38" t="s">
        <v>35</v>
      </c>
      <c r="C32" s="36">
        <v>15271.56043</v>
      </c>
      <c r="D32" s="36">
        <v>22317</v>
      </c>
      <c r="E32" s="36">
        <v>3341</v>
      </c>
      <c r="F32" s="36">
        <v>4333</v>
      </c>
      <c r="G32" s="36">
        <v>10633</v>
      </c>
      <c r="H32" s="36">
        <v>7809.8741499999996</v>
      </c>
      <c r="I32" s="36">
        <v>10191</v>
      </c>
      <c r="J32" s="36">
        <v>8214</v>
      </c>
      <c r="K32" s="36">
        <v>4814.067</v>
      </c>
      <c r="L32" s="36">
        <v>7731</v>
      </c>
      <c r="M32" s="36">
        <v>11931</v>
      </c>
      <c r="N32" s="36">
        <v>12428</v>
      </c>
      <c r="O32" s="36">
        <v>2232</v>
      </c>
      <c r="P32" s="36">
        <v>8543</v>
      </c>
      <c r="Q32" s="36">
        <v>3746.5889099999999</v>
      </c>
      <c r="R32" s="36">
        <v>16149.14321814339</v>
      </c>
      <c r="S32" s="36">
        <v>50934</v>
      </c>
      <c r="T32" s="37">
        <v>7679.5959999999995</v>
      </c>
      <c r="U32" s="37">
        <v>67817.648873944156</v>
      </c>
      <c r="V32" s="37">
        <v>2585.5912618801608</v>
      </c>
      <c r="W32" s="37">
        <v>10693</v>
      </c>
      <c r="X32" s="37">
        <v>13497.526</v>
      </c>
      <c r="Y32" s="37">
        <v>12617.3259424278</v>
      </c>
      <c r="Z32" s="37">
        <v>34853.785604490076</v>
      </c>
      <c r="AA32" s="37">
        <v>106706</v>
      </c>
      <c r="AB32" s="37">
        <v>18919.191740000009</v>
      </c>
      <c r="AC32" s="37">
        <v>4548</v>
      </c>
      <c r="AD32" s="37">
        <v>29611.046129999999</v>
      </c>
      <c r="AE32" s="37">
        <v>8169</v>
      </c>
      <c r="AF32" s="127">
        <f t="shared" si="9"/>
        <v>467382.94526088558</v>
      </c>
      <c r="AG32" s="127">
        <f t="shared" si="10"/>
        <v>351243.90413086198</v>
      </c>
      <c r="AH32" s="127">
        <f t="shared" si="11"/>
        <v>116139.04113002356</v>
      </c>
    </row>
    <row r="33" spans="1:34" s="32" customFormat="1" x14ac:dyDescent="0.25">
      <c r="A33" s="35" t="str">
        <f>$A$28&amp;",  2014/15"</f>
        <v>Actual operational expenditure (excluding pass through costs),  2014/15</v>
      </c>
      <c r="B33" s="38" t="s">
        <v>35</v>
      </c>
      <c r="C33" s="36">
        <v>13822.025960000001</v>
      </c>
      <c r="D33" s="36">
        <v>23608</v>
      </c>
      <c r="E33" s="36">
        <v>3097.9666549208118</v>
      </c>
      <c r="F33" s="36">
        <v>3545</v>
      </c>
      <c r="G33" s="36">
        <v>11382.10564</v>
      </c>
      <c r="H33" s="36">
        <v>7854.0554200000006</v>
      </c>
      <c r="I33" s="36">
        <v>10629</v>
      </c>
      <c r="J33" s="36">
        <v>9121</v>
      </c>
      <c r="K33" s="36">
        <v>4161.3500000000004</v>
      </c>
      <c r="L33" s="36">
        <v>7979.563466687965</v>
      </c>
      <c r="M33" s="36">
        <v>12160.25</v>
      </c>
      <c r="N33" s="36">
        <v>12486</v>
      </c>
      <c r="O33" s="36">
        <v>1905.33314</v>
      </c>
      <c r="P33" s="36">
        <v>9818</v>
      </c>
      <c r="Q33" s="36">
        <v>4545</v>
      </c>
      <c r="R33" s="36">
        <v>15727.686125800359</v>
      </c>
      <c r="S33" s="36">
        <v>50828.255000000012</v>
      </c>
      <c r="T33" s="37">
        <v>8009.0670000000009</v>
      </c>
      <c r="U33" s="37">
        <v>65510.486778504099</v>
      </c>
      <c r="V33" s="37">
        <v>1598.714141331058</v>
      </c>
      <c r="W33" s="37">
        <v>10062</v>
      </c>
      <c r="X33" s="37">
        <v>14413.540999999999</v>
      </c>
      <c r="Y33" s="37">
        <v>13032.385186707919</v>
      </c>
      <c r="Z33" s="37">
        <v>35142.829238561593</v>
      </c>
      <c r="AA33" s="37">
        <v>112188</v>
      </c>
      <c r="AB33" s="37">
        <v>17857.74745000001</v>
      </c>
      <c r="AC33" s="37">
        <v>5242</v>
      </c>
      <c r="AD33" s="37">
        <v>25555.800360000001</v>
      </c>
      <c r="AE33" s="37">
        <v>9567</v>
      </c>
      <c r="AF33" s="127">
        <f t="shared" si="9"/>
        <v>470021.90756251384</v>
      </c>
      <c r="AG33" s="127">
        <f t="shared" si="10"/>
        <v>351314.89655046159</v>
      </c>
      <c r="AH33" s="127">
        <f t="shared" si="11"/>
        <v>118707.01101205224</v>
      </c>
    </row>
    <row r="34" spans="1:34" s="32" customFormat="1" x14ac:dyDescent="0.25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126"/>
      <c r="AG34" s="126"/>
      <c r="AH34" s="126"/>
    </row>
    <row r="35" spans="1:34" s="32" customFormat="1" x14ac:dyDescent="0.25">
      <c r="A35" s="33" t="s">
        <v>136</v>
      </c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126"/>
      <c r="AG35" s="126"/>
      <c r="AH35" s="126"/>
    </row>
    <row r="36" spans="1:34" s="32" customFormat="1" x14ac:dyDescent="0.25">
      <c r="A36" s="35" t="str">
        <f>$A$35&amp;",  2007/08"</f>
        <v>Historic operating expenditure (including pass-through costs),  2007/08</v>
      </c>
      <c r="B36" s="35" t="s">
        <v>38</v>
      </c>
      <c r="C36" s="36">
        <v>7647</v>
      </c>
      <c r="D36" s="36">
        <v>18160</v>
      </c>
      <c r="E36" s="36">
        <v>2681</v>
      </c>
      <c r="F36" s="36">
        <v>2052.4463999999998</v>
      </c>
      <c r="G36" s="36">
        <v>9247</v>
      </c>
      <c r="H36" s="36">
        <v>4907.08</v>
      </c>
      <c r="I36" s="36">
        <v>6607</v>
      </c>
      <c r="J36" s="36">
        <v>5252</v>
      </c>
      <c r="K36" s="36">
        <v>3325</v>
      </c>
      <c r="L36" s="36">
        <v>6458.5614999999998</v>
      </c>
      <c r="M36" s="36">
        <v>7096</v>
      </c>
      <c r="N36" s="36">
        <v>13631</v>
      </c>
      <c r="O36" s="36">
        <v>1769.585</v>
      </c>
      <c r="P36" s="36">
        <v>6544</v>
      </c>
      <c r="Q36" s="36">
        <v>2616</v>
      </c>
      <c r="R36" s="36">
        <v>14554</v>
      </c>
      <c r="S36" s="36">
        <v>35747</v>
      </c>
      <c r="T36" s="37">
        <v>4225</v>
      </c>
      <c r="U36" s="37">
        <v>57634</v>
      </c>
      <c r="V36" s="37">
        <v>1854</v>
      </c>
      <c r="W36" s="37">
        <v>5532</v>
      </c>
      <c r="X36" s="37">
        <v>9014</v>
      </c>
      <c r="Y36" s="37">
        <v>8646</v>
      </c>
      <c r="Z36" s="37">
        <v>21860.433000000001</v>
      </c>
      <c r="AA36" s="37">
        <v>115421.2</v>
      </c>
      <c r="AB36" s="37">
        <v>14966.064</v>
      </c>
      <c r="AC36" s="37">
        <v>3946.5790999999999</v>
      </c>
      <c r="AD36" s="37">
        <v>0</v>
      </c>
      <c r="AE36" s="37">
        <v>6482</v>
      </c>
      <c r="AF36" s="127">
        <f t="shared" ref="AF36:AF40" si="13">SUM(C36:AE36)-S36</f>
        <v>362128.94899999996</v>
      </c>
      <c r="AG36" s="127">
        <f t="shared" ref="AG36:AG40" si="14">SUMIF($C$17:$AE$17,1,C36:AE36)-S36</f>
        <v>269434.30589999998</v>
      </c>
      <c r="AH36" s="127">
        <f t="shared" ref="AH36:AH40" si="15">SUMIF($C$17:$AE$17,0,C36:AE36)</f>
        <v>92694.643100000001</v>
      </c>
    </row>
    <row r="37" spans="1:34" s="32" customFormat="1" x14ac:dyDescent="0.25">
      <c r="A37" s="35" t="str">
        <f>$A$35&amp;",  2008/09"</f>
        <v>Historic operating expenditure (including pass-through costs),  2008/09</v>
      </c>
      <c r="B37" s="35" t="s">
        <v>38</v>
      </c>
      <c r="C37" s="36">
        <v>8206.2279999999992</v>
      </c>
      <c r="D37" s="36">
        <v>19823</v>
      </c>
      <c r="E37" s="36">
        <v>1870</v>
      </c>
      <c r="F37" s="36">
        <v>2684.9920000000002</v>
      </c>
      <c r="G37" s="36">
        <v>9775</v>
      </c>
      <c r="H37" s="36">
        <v>6117</v>
      </c>
      <c r="I37" s="36">
        <v>7979</v>
      </c>
      <c r="J37" s="36">
        <v>5969</v>
      </c>
      <c r="K37" s="36">
        <v>3774</v>
      </c>
      <c r="L37" s="36">
        <v>7002.9490999999998</v>
      </c>
      <c r="M37" s="36">
        <v>8945</v>
      </c>
      <c r="N37" s="36">
        <v>14018.584000000001</v>
      </c>
      <c r="O37" s="36">
        <v>1873</v>
      </c>
      <c r="P37" s="36">
        <v>8468.8112000000001</v>
      </c>
      <c r="Q37" s="36">
        <v>3008</v>
      </c>
      <c r="R37" s="36">
        <v>15975.5</v>
      </c>
      <c r="S37" s="36">
        <v>37776</v>
      </c>
      <c r="T37" s="37">
        <v>5384</v>
      </c>
      <c r="U37" s="37">
        <v>58189</v>
      </c>
      <c r="V37" s="37">
        <v>1842</v>
      </c>
      <c r="W37" s="37">
        <v>6599</v>
      </c>
      <c r="X37" s="37">
        <v>10590</v>
      </c>
      <c r="Y37" s="37">
        <v>9897</v>
      </c>
      <c r="Z37" s="37">
        <v>21457.579000000002</v>
      </c>
      <c r="AA37" s="37">
        <v>93540</v>
      </c>
      <c r="AB37" s="37">
        <v>16096.288</v>
      </c>
      <c r="AC37" s="37">
        <v>4650.2636000000002</v>
      </c>
      <c r="AD37" s="36">
        <v>18444.784</v>
      </c>
      <c r="AE37" s="37">
        <v>7032</v>
      </c>
      <c r="AF37" s="127">
        <f t="shared" si="13"/>
        <v>379211.97889999999</v>
      </c>
      <c r="AG37" s="127">
        <f t="shared" si="14"/>
        <v>277430.34329999995</v>
      </c>
      <c r="AH37" s="127">
        <f t="shared" si="15"/>
        <v>101781.63560000001</v>
      </c>
    </row>
    <row r="38" spans="1:34" s="32" customFormat="1" x14ac:dyDescent="0.25">
      <c r="A38" s="35" t="str">
        <f>$A$35&amp;",  2009/10"</f>
        <v>Historic operating expenditure (including pass-through costs),  2009/10</v>
      </c>
      <c r="B38" s="35" t="s">
        <v>38</v>
      </c>
      <c r="C38" s="36">
        <v>10288.732</v>
      </c>
      <c r="D38" s="36">
        <v>20013</v>
      </c>
      <c r="E38" s="36">
        <v>2521</v>
      </c>
      <c r="F38" s="36">
        <v>2621.2249999999999</v>
      </c>
      <c r="G38" s="36">
        <v>9600.4002999999993</v>
      </c>
      <c r="H38" s="36">
        <v>5839</v>
      </c>
      <c r="I38" s="36">
        <v>8258</v>
      </c>
      <c r="J38" s="36">
        <v>6199</v>
      </c>
      <c r="K38" s="36">
        <v>4418</v>
      </c>
      <c r="L38" s="36">
        <v>6865.6130000000003</v>
      </c>
      <c r="M38" s="36">
        <v>8870</v>
      </c>
      <c r="N38" s="36">
        <v>15641.8</v>
      </c>
      <c r="O38" s="36">
        <v>2153</v>
      </c>
      <c r="P38" s="36">
        <v>7429.5559000000003</v>
      </c>
      <c r="Q38" s="36">
        <v>3130</v>
      </c>
      <c r="R38" s="36">
        <v>15541</v>
      </c>
      <c r="S38" s="36">
        <v>40890</v>
      </c>
      <c r="T38" s="37">
        <v>5019</v>
      </c>
      <c r="U38" s="37">
        <v>57431.963000000003</v>
      </c>
      <c r="V38" s="37">
        <v>1819</v>
      </c>
      <c r="W38" s="37">
        <v>6869</v>
      </c>
      <c r="X38" s="37">
        <v>11372</v>
      </c>
      <c r="Y38" s="37">
        <v>11414</v>
      </c>
      <c r="Z38" s="37">
        <v>25773.487000000001</v>
      </c>
      <c r="AA38" s="37">
        <v>90122.365000000005</v>
      </c>
      <c r="AB38" s="37">
        <v>16929.633999999998</v>
      </c>
      <c r="AC38" s="37">
        <v>5054.5726999999997</v>
      </c>
      <c r="AD38" s="37">
        <v>31183.654999999999</v>
      </c>
      <c r="AE38" s="37">
        <v>7391</v>
      </c>
      <c r="AF38" s="127">
        <f t="shared" si="13"/>
        <v>399769.00290000008</v>
      </c>
      <c r="AG38" s="127">
        <f t="shared" si="14"/>
        <v>293640.59589999996</v>
      </c>
      <c r="AH38" s="127">
        <f t="shared" si="15"/>
        <v>106128.40699999999</v>
      </c>
    </row>
    <row r="39" spans="1:34" s="32" customFormat="1" x14ac:dyDescent="0.25">
      <c r="A39" s="35" t="str">
        <f>$A$35&amp;",  2010/11"</f>
        <v>Historic operating expenditure (including pass-through costs),  2010/11</v>
      </c>
      <c r="B39" s="35" t="s">
        <v>38</v>
      </c>
      <c r="C39" s="36">
        <v>12057.84</v>
      </c>
      <c r="D39" s="36">
        <v>19005</v>
      </c>
      <c r="E39" s="36">
        <v>2874.7703000000001</v>
      </c>
      <c r="F39" s="36">
        <v>3251</v>
      </c>
      <c r="G39" s="36">
        <v>9843</v>
      </c>
      <c r="H39" s="36">
        <v>5824</v>
      </c>
      <c r="I39" s="36">
        <v>7778</v>
      </c>
      <c r="J39" s="36">
        <v>6386</v>
      </c>
      <c r="K39" s="36">
        <v>4732</v>
      </c>
      <c r="L39" s="36">
        <v>6832.0897000000004</v>
      </c>
      <c r="M39" s="36">
        <v>10109</v>
      </c>
      <c r="N39" s="36">
        <v>16664.400000000001</v>
      </c>
      <c r="O39" s="36">
        <v>1749</v>
      </c>
      <c r="P39" s="36">
        <v>8002.7159000000001</v>
      </c>
      <c r="Q39" s="36">
        <v>2989</v>
      </c>
      <c r="R39" s="36">
        <v>14793.732</v>
      </c>
      <c r="S39" s="36"/>
      <c r="T39" s="37">
        <v>5141</v>
      </c>
      <c r="U39" s="37">
        <v>57267.519999999997</v>
      </c>
      <c r="V39" s="37">
        <v>1947</v>
      </c>
      <c r="W39" s="37">
        <v>7147.3181000000004</v>
      </c>
      <c r="X39" s="37">
        <v>11319</v>
      </c>
      <c r="Y39" s="37">
        <v>12645</v>
      </c>
      <c r="Z39" s="37">
        <v>29511.937999999998</v>
      </c>
      <c r="AA39" s="37">
        <v>92140</v>
      </c>
      <c r="AB39" s="37">
        <v>17772.210999999999</v>
      </c>
      <c r="AC39" s="37">
        <v>5418.0295999999998</v>
      </c>
      <c r="AD39" s="37">
        <v>31607.716</v>
      </c>
      <c r="AE39" s="37">
        <v>7539</v>
      </c>
      <c r="AF39" s="127">
        <f t="shared" si="13"/>
        <v>412347.28060000006</v>
      </c>
      <c r="AG39" s="127">
        <f t="shared" si="14"/>
        <v>303300.13769999996</v>
      </c>
      <c r="AH39" s="127">
        <f t="shared" si="15"/>
        <v>109047.14289999999</v>
      </c>
    </row>
    <row r="40" spans="1:34" s="32" customFormat="1" x14ac:dyDescent="0.25">
      <c r="A40" s="35" t="str">
        <f>$A$35&amp;",  2011/12"</f>
        <v>Historic operating expenditure (including pass-through costs),  2011/12</v>
      </c>
      <c r="B40" s="35" t="s">
        <v>38</v>
      </c>
      <c r="C40" s="36">
        <v>12562.808999999999</v>
      </c>
      <c r="D40" s="36">
        <v>20026</v>
      </c>
      <c r="E40" s="36">
        <v>3447.2592</v>
      </c>
      <c r="F40" s="36">
        <v>3456</v>
      </c>
      <c r="G40" s="36">
        <v>9732.6010000000006</v>
      </c>
      <c r="H40" s="36">
        <v>6035.4040000000005</v>
      </c>
      <c r="I40" s="36">
        <v>9616</v>
      </c>
      <c r="J40" s="36">
        <v>7161</v>
      </c>
      <c r="K40" s="36">
        <v>5152</v>
      </c>
      <c r="L40" s="36">
        <v>6931.5298000000003</v>
      </c>
      <c r="M40" s="36">
        <v>9779</v>
      </c>
      <c r="N40" s="36">
        <v>13604</v>
      </c>
      <c r="O40" s="36">
        <v>2046</v>
      </c>
      <c r="P40" s="36">
        <v>8558.2733000000007</v>
      </c>
      <c r="Q40" s="36">
        <v>3670.3761</v>
      </c>
      <c r="R40" s="36">
        <v>14842</v>
      </c>
      <c r="S40" s="36">
        <v>60456</v>
      </c>
      <c r="T40" s="37">
        <v>6015</v>
      </c>
      <c r="U40" s="37">
        <v>66547.535000000003</v>
      </c>
      <c r="V40" s="37">
        <v>2069</v>
      </c>
      <c r="W40" s="37">
        <v>8671.8430000000008</v>
      </c>
      <c r="X40" s="37">
        <v>12236</v>
      </c>
      <c r="Y40" s="37">
        <v>14771.96</v>
      </c>
      <c r="Z40" s="37">
        <v>29981.341</v>
      </c>
      <c r="AA40" s="37">
        <v>99575</v>
      </c>
      <c r="AB40" s="37">
        <v>18520.743999999999</v>
      </c>
      <c r="AC40" s="37">
        <v>4677.3649999999998</v>
      </c>
      <c r="AD40" s="37">
        <v>31114.920999999998</v>
      </c>
      <c r="AE40" s="37">
        <v>7995</v>
      </c>
      <c r="AF40" s="127">
        <f t="shared" si="13"/>
        <v>438795.96140000003</v>
      </c>
      <c r="AG40" s="127">
        <f t="shared" si="14"/>
        <v>328606.61609999998</v>
      </c>
      <c r="AH40" s="127">
        <f t="shared" si="15"/>
        <v>110189.3453</v>
      </c>
    </row>
    <row r="41" spans="1:34" s="32" customFormat="1" x14ac:dyDescent="0.25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126"/>
      <c r="AG41" s="126"/>
      <c r="AH41" s="126"/>
    </row>
    <row r="42" spans="1:34" s="32" customFormat="1" x14ac:dyDescent="0.25">
      <c r="A42" s="33" t="s">
        <v>195</v>
      </c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134"/>
      <c r="AG42" s="134"/>
      <c r="AH42" s="134"/>
    </row>
    <row r="43" spans="1:34" s="32" customFormat="1" x14ac:dyDescent="0.25">
      <c r="A43" s="35" t="str">
        <f>$A$42&amp;",  2012/13"</f>
        <v>Gains and losses on asset disposals,  2012/13</v>
      </c>
      <c r="B43" s="100" t="s">
        <v>35</v>
      </c>
      <c r="C43" s="36">
        <v>-538.80521999999996</v>
      </c>
      <c r="D43" s="36">
        <v>-81</v>
      </c>
      <c r="E43" s="36">
        <v>-329.09298940000002</v>
      </c>
      <c r="F43" s="36">
        <v>22</v>
      </c>
      <c r="G43" s="36">
        <v>-358.18666999999999</v>
      </c>
      <c r="H43" s="36">
        <v>-259.23962999999998</v>
      </c>
      <c r="I43" s="36">
        <v>-1000.784</v>
      </c>
      <c r="J43" s="36">
        <v>-1507</v>
      </c>
      <c r="K43" s="36">
        <v>-69</v>
      </c>
      <c r="L43" s="36">
        <v>16.399000000000001</v>
      </c>
      <c r="M43" s="36"/>
      <c r="N43" s="36">
        <v>-498.67099999999999</v>
      </c>
      <c r="O43" s="36">
        <v>7.5629999999999997</v>
      </c>
      <c r="P43" s="36">
        <v>-162.16219480000001</v>
      </c>
      <c r="Q43" s="36">
        <v>-117</v>
      </c>
      <c r="R43" s="36">
        <v>0</v>
      </c>
      <c r="S43" s="36">
        <v>231.35635930000001</v>
      </c>
      <c r="T43" s="37">
        <v>-6.0302899999999999</v>
      </c>
      <c r="U43" s="37">
        <v>-8111</v>
      </c>
      <c r="V43" s="37">
        <v>0</v>
      </c>
      <c r="W43" s="37">
        <v>0.51426300000000003</v>
      </c>
      <c r="X43" s="37">
        <v>-423</v>
      </c>
      <c r="Y43" s="37">
        <v>0</v>
      </c>
      <c r="Z43" s="37">
        <v>-326.52</v>
      </c>
      <c r="AA43" s="37">
        <v>-3008</v>
      </c>
      <c r="AB43" s="37">
        <v>-2001.31368</v>
      </c>
      <c r="AC43" s="37">
        <v>-127.7523812</v>
      </c>
      <c r="AD43" s="37">
        <v>0</v>
      </c>
      <c r="AE43" s="37">
        <v>-216</v>
      </c>
      <c r="AF43" s="127">
        <f t="shared" ref="AF43:AF45" si="16">SUM(C43:AE43)-S43</f>
        <v>-19094.0817924</v>
      </c>
      <c r="AG43" s="127">
        <f t="shared" ref="AG43:AG45" si="17">SUMIF($C$17:$AE$17,1,C43:AE43)-S43</f>
        <v>-14022.281071800002</v>
      </c>
      <c r="AH43" s="127">
        <f t="shared" ref="AH43:AH45" si="18">SUMIF($C$17:$AE$17,0,C43:AE43)</f>
        <v>-5071.8007206000002</v>
      </c>
    </row>
    <row r="44" spans="1:34" s="32" customFormat="1" x14ac:dyDescent="0.25">
      <c r="A44" s="35" t="str">
        <f>$A$42&amp;",  2013/14"</f>
        <v>Gains and losses on asset disposals,  2013/14</v>
      </c>
      <c r="B44" s="100" t="s">
        <v>35</v>
      </c>
      <c r="C44" s="36">
        <v>-168.47564</v>
      </c>
      <c r="D44" s="36">
        <v>-363</v>
      </c>
      <c r="E44" s="36">
        <v>-307</v>
      </c>
      <c r="F44" s="36">
        <v>18.463989999999999</v>
      </c>
      <c r="G44" s="36">
        <v>-313.98451999999997</v>
      </c>
      <c r="H44" s="36">
        <v>-146.09625550000001</v>
      </c>
      <c r="I44" s="36">
        <v>-255.60849999999999</v>
      </c>
      <c r="J44" s="36">
        <v>-26</v>
      </c>
      <c r="K44" s="36">
        <v>-166.91</v>
      </c>
      <c r="L44" s="36">
        <v>-44</v>
      </c>
      <c r="M44" s="36">
        <v>38</v>
      </c>
      <c r="N44" s="36">
        <v>-98</v>
      </c>
      <c r="O44" s="36">
        <v>0</v>
      </c>
      <c r="P44" s="36">
        <v>-197</v>
      </c>
      <c r="Q44" s="36">
        <v>-219</v>
      </c>
      <c r="R44" s="36">
        <v>0</v>
      </c>
      <c r="S44" s="36">
        <v>-6554</v>
      </c>
      <c r="T44" s="37">
        <v>-14.43515</v>
      </c>
      <c r="U44" s="37">
        <v>-8274.7208950000004</v>
      </c>
      <c r="V44" s="37">
        <v>0</v>
      </c>
      <c r="W44" s="37">
        <v>11</v>
      </c>
      <c r="X44" s="37">
        <v>-665.02599999999995</v>
      </c>
      <c r="Y44" s="37">
        <v>3.86768</v>
      </c>
      <c r="Z44" s="37">
        <v>-3861</v>
      </c>
      <c r="AA44" s="37">
        <v>-7805</v>
      </c>
      <c r="AB44" s="37">
        <v>-820.89062999999999</v>
      </c>
      <c r="AC44" s="37">
        <v>-138.63559900000001</v>
      </c>
      <c r="AD44" s="37">
        <v>-341.81114680000002</v>
      </c>
      <c r="AE44" s="37">
        <v>-200</v>
      </c>
      <c r="AF44" s="127">
        <f t="shared" si="16"/>
        <v>-24355.262666300005</v>
      </c>
      <c r="AG44" s="127">
        <f t="shared" si="17"/>
        <v>-21375.1174173</v>
      </c>
      <c r="AH44" s="127">
        <f t="shared" si="18"/>
        <v>-2980.1452490000001</v>
      </c>
    </row>
    <row r="45" spans="1:34" s="32" customFormat="1" x14ac:dyDescent="0.25">
      <c r="A45" s="35" t="str">
        <f>$A$42&amp;",  2014/15"</f>
        <v>Gains and losses on asset disposals,  2014/15</v>
      </c>
      <c r="B45" s="100" t="s">
        <v>35</v>
      </c>
      <c r="C45" s="36">
        <v>-225.33927109999999</v>
      </c>
      <c r="D45" s="36">
        <v>0</v>
      </c>
      <c r="E45" s="36">
        <v>-137.16337480000001</v>
      </c>
      <c r="F45" s="36">
        <v>36</v>
      </c>
      <c r="G45" s="36">
        <v>-321</v>
      </c>
      <c r="H45" s="36">
        <v>-7.6306751469999998</v>
      </c>
      <c r="I45" s="36">
        <v>-371.85480000000001</v>
      </c>
      <c r="J45" s="36">
        <v>2</v>
      </c>
      <c r="K45" s="36">
        <v>-54.613999999999997</v>
      </c>
      <c r="L45" s="36">
        <v>-120.5788749</v>
      </c>
      <c r="M45" s="36">
        <v>49</v>
      </c>
      <c r="N45" s="36">
        <v>66</v>
      </c>
      <c r="O45" s="36"/>
      <c r="P45" s="36">
        <v>-360</v>
      </c>
      <c r="Q45" s="36">
        <v>-199</v>
      </c>
      <c r="R45" s="36">
        <v>0</v>
      </c>
      <c r="S45" s="36">
        <v>-560.45799999999997</v>
      </c>
      <c r="T45" s="37">
        <v>2.68</v>
      </c>
      <c r="U45" s="37">
        <v>-8807.8701700000001</v>
      </c>
      <c r="V45" s="37">
        <v>0</v>
      </c>
      <c r="W45" s="37">
        <v>-2</v>
      </c>
      <c r="X45" s="37">
        <v>-606.82000000000005</v>
      </c>
      <c r="Y45" s="37">
        <v>9.5330600000000008</v>
      </c>
      <c r="Z45" s="37">
        <v>-3185.3620000000001</v>
      </c>
      <c r="AA45" s="37">
        <v>-9004</v>
      </c>
      <c r="AB45" s="37">
        <v>-437.38864000000001</v>
      </c>
      <c r="AC45" s="37">
        <v>-127.9178759</v>
      </c>
      <c r="AD45" s="37">
        <v>0</v>
      </c>
      <c r="AE45" s="37">
        <v>-95</v>
      </c>
      <c r="AF45" s="127">
        <f t="shared" si="16"/>
        <v>-23898.326621847002</v>
      </c>
      <c r="AG45" s="127">
        <f t="shared" si="17"/>
        <v>-21717.181931147003</v>
      </c>
      <c r="AH45" s="127">
        <f t="shared" si="18"/>
        <v>-2181.1446907000004</v>
      </c>
    </row>
    <row r="46" spans="1:34" s="32" customFormat="1" x14ac:dyDescent="0.25">
      <c r="A46" s="35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134"/>
      <c r="AG46" s="134"/>
      <c r="AH46" s="134"/>
    </row>
    <row r="47" spans="1:34" s="32" customFormat="1" x14ac:dyDescent="0.25">
      <c r="A47" s="33" t="s">
        <v>135</v>
      </c>
      <c r="B47" s="100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127"/>
      <c r="AG47" s="127"/>
      <c r="AH47" s="127"/>
    </row>
    <row r="48" spans="1:34" s="32" customFormat="1" x14ac:dyDescent="0.25">
      <c r="A48" s="35" t="str">
        <f>$A$47&amp;",  2012/13"</f>
        <v>Pass-through costs,  2012/13</v>
      </c>
      <c r="B48" s="100" t="s">
        <v>35</v>
      </c>
      <c r="C48" s="36">
        <v>234.50009</v>
      </c>
      <c r="D48" s="36">
        <v>2997</v>
      </c>
      <c r="E48" s="36">
        <v>0</v>
      </c>
      <c r="F48" s="36">
        <v>48</v>
      </c>
      <c r="G48" s="36">
        <v>375.09500000000003</v>
      </c>
      <c r="H48" s="36">
        <v>275.74234000000001</v>
      </c>
      <c r="I48" s="36">
        <v>170</v>
      </c>
      <c r="J48" s="36">
        <v>301</v>
      </c>
      <c r="K48" s="36">
        <v>160.81399999999999</v>
      </c>
      <c r="L48" s="36">
        <v>230.77757</v>
      </c>
      <c r="M48" s="36">
        <v>348</v>
      </c>
      <c r="N48" s="36">
        <v>179.44900999999999</v>
      </c>
      <c r="O48" s="36">
        <v>110.307</v>
      </c>
      <c r="P48" s="36">
        <v>218</v>
      </c>
      <c r="Q48" s="36">
        <v>126</v>
      </c>
      <c r="R48" s="36">
        <v>291</v>
      </c>
      <c r="S48" s="36">
        <v>2874.1001000000001</v>
      </c>
      <c r="T48" s="37">
        <v>170.173</v>
      </c>
      <c r="U48" s="37">
        <v>2534.4567999999999</v>
      </c>
      <c r="V48" s="37">
        <v>37</v>
      </c>
      <c r="W48" s="37">
        <v>260.00081999999998</v>
      </c>
      <c r="X48" s="37">
        <v>324.30599999999998</v>
      </c>
      <c r="Y48" s="37">
        <v>188.00154000000001</v>
      </c>
      <c r="Z48" s="37">
        <v>988.46698000000004</v>
      </c>
      <c r="AA48" s="37">
        <v>7470</v>
      </c>
      <c r="AB48" s="37">
        <v>1382.4213</v>
      </c>
      <c r="AC48" s="37">
        <v>156.20399</v>
      </c>
      <c r="AD48" s="37">
        <v>2619.3018000000002</v>
      </c>
      <c r="AE48" s="37">
        <v>0</v>
      </c>
      <c r="AF48" s="127">
        <f t="shared" ref="AF48:AF50" si="19">SUM(C48:AE48)-S48</f>
        <v>22196.017240000005</v>
      </c>
      <c r="AG48" s="127">
        <f t="shared" ref="AG48:AG50" si="20">SUMIF($C$17:$AE$17,1,C48:AE48)-S48</f>
        <v>18806.541939999999</v>
      </c>
      <c r="AH48" s="127">
        <f t="shared" ref="AH48:AH50" si="21">SUMIF($C$17:$AE$17,0,C48:AE48)</f>
        <v>3389.4753000000001</v>
      </c>
    </row>
    <row r="49" spans="1:34" s="32" customFormat="1" x14ac:dyDescent="0.25">
      <c r="A49" s="35" t="str">
        <f>$A$47&amp;",  2013/14"</f>
        <v>Pass-through costs,  2013/14</v>
      </c>
      <c r="B49" s="100" t="s">
        <v>35</v>
      </c>
      <c r="C49" s="36">
        <v>251.03419</v>
      </c>
      <c r="D49" s="36">
        <v>2255</v>
      </c>
      <c r="E49" s="36">
        <v>32</v>
      </c>
      <c r="F49" s="36">
        <v>77</v>
      </c>
      <c r="G49" s="36">
        <v>409.68709999999999</v>
      </c>
      <c r="H49" s="36">
        <v>296.98676</v>
      </c>
      <c r="I49" s="36">
        <v>131.10195999999999</v>
      </c>
      <c r="J49" s="36">
        <v>358</v>
      </c>
      <c r="K49" s="36">
        <v>177.53399999999999</v>
      </c>
      <c r="L49" s="36">
        <v>252</v>
      </c>
      <c r="M49" s="36">
        <v>322</v>
      </c>
      <c r="N49" s="36">
        <v>133.88200000000001</v>
      </c>
      <c r="O49" s="36">
        <v>77</v>
      </c>
      <c r="P49" s="36">
        <v>219</v>
      </c>
      <c r="Q49" s="36">
        <v>130.96592999999999</v>
      </c>
      <c r="R49" s="36">
        <v>198</v>
      </c>
      <c r="S49" s="36">
        <v>3117.8301000000001</v>
      </c>
      <c r="T49" s="36">
        <v>198</v>
      </c>
      <c r="U49" s="36">
        <v>2671.5241999999998</v>
      </c>
      <c r="V49" s="36">
        <v>24.250059</v>
      </c>
      <c r="W49" s="36">
        <v>242</v>
      </c>
      <c r="X49" s="36">
        <v>274.95001000000002</v>
      </c>
      <c r="Y49" s="36">
        <v>158.97037</v>
      </c>
      <c r="Z49" s="36">
        <v>1129.5702000000001</v>
      </c>
      <c r="AA49" s="36">
        <v>9082</v>
      </c>
      <c r="AB49" s="36">
        <v>1236.0132000000001</v>
      </c>
      <c r="AC49" s="36">
        <v>132.666</v>
      </c>
      <c r="AD49" s="36">
        <v>2816</v>
      </c>
      <c r="AE49" s="36">
        <v>102</v>
      </c>
      <c r="AF49" s="127">
        <f t="shared" si="19"/>
        <v>23389.135979000002</v>
      </c>
      <c r="AG49" s="127">
        <f t="shared" si="20"/>
        <v>20261.619720000002</v>
      </c>
      <c r="AH49" s="127">
        <f t="shared" si="21"/>
        <v>3127.516259</v>
      </c>
    </row>
    <row r="50" spans="1:34" s="32" customFormat="1" x14ac:dyDescent="0.25">
      <c r="A50" s="35" t="str">
        <f>$A$47&amp;",  2014/15"</f>
        <v>Pass-through costs,  2014/15</v>
      </c>
      <c r="B50" s="100" t="s">
        <v>35</v>
      </c>
      <c r="C50" s="36">
        <v>309.75835999999998</v>
      </c>
      <c r="D50" s="36">
        <v>1469</v>
      </c>
      <c r="E50" s="36">
        <v>42.882198000000002</v>
      </c>
      <c r="F50" s="36">
        <v>97</v>
      </c>
      <c r="G50" s="36">
        <v>467.79998999999998</v>
      </c>
      <c r="H50" s="36">
        <v>336.03237999999999</v>
      </c>
      <c r="I50" s="36">
        <v>180.54184000000001</v>
      </c>
      <c r="J50" s="36">
        <v>420</v>
      </c>
      <c r="K50" s="36">
        <v>189.595</v>
      </c>
      <c r="L50" s="36">
        <v>335.25864000000001</v>
      </c>
      <c r="M50" s="36">
        <v>397</v>
      </c>
      <c r="N50" s="36">
        <v>182</v>
      </c>
      <c r="O50" s="36">
        <v>81</v>
      </c>
      <c r="P50" s="36">
        <v>260</v>
      </c>
      <c r="Q50" s="36">
        <v>168</v>
      </c>
      <c r="R50" s="36">
        <v>272</v>
      </c>
      <c r="S50" s="36">
        <v>4099.7798000000003</v>
      </c>
      <c r="T50" s="36">
        <v>253.5</v>
      </c>
      <c r="U50" s="36">
        <v>3235.4814000000001</v>
      </c>
      <c r="V50" s="36">
        <v>35.251179</v>
      </c>
      <c r="W50" s="36">
        <v>381</v>
      </c>
      <c r="X50" s="36">
        <v>345</v>
      </c>
      <c r="Y50" s="36">
        <v>230.08839</v>
      </c>
      <c r="Z50" s="36">
        <v>1413.5073</v>
      </c>
      <c r="AA50" s="36">
        <v>11540</v>
      </c>
      <c r="AB50" s="36">
        <v>1297.2982</v>
      </c>
      <c r="AC50" s="36">
        <v>176.62601000000001</v>
      </c>
      <c r="AD50" s="36">
        <v>3285.3710999999998</v>
      </c>
      <c r="AE50" s="36">
        <v>123</v>
      </c>
      <c r="AF50" s="127">
        <f t="shared" si="19"/>
        <v>27523.991987000005</v>
      </c>
      <c r="AG50" s="127">
        <f t="shared" si="20"/>
        <v>23836.592570000001</v>
      </c>
      <c r="AH50" s="127">
        <f t="shared" si="21"/>
        <v>3687.3994170000005</v>
      </c>
    </row>
    <row r="51" spans="1:34" s="32" customFormat="1" x14ac:dyDescent="0.25">
      <c r="A51" s="35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126"/>
      <c r="AG51" s="126"/>
      <c r="AH51" s="126"/>
    </row>
    <row r="52" spans="1:34" s="32" customFormat="1" x14ac:dyDescent="0.25">
      <c r="A52" s="33" t="s">
        <v>137</v>
      </c>
      <c r="B52" s="9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127"/>
      <c r="AG52" s="127"/>
      <c r="AH52" s="127"/>
    </row>
    <row r="53" spans="1:34" s="32" customFormat="1" x14ac:dyDescent="0.25">
      <c r="A53" s="35" t="str">
        <f>$A$52&amp;",  2007/08"</f>
        <v>Expenditure on assets (capital expenditure),  2007/08</v>
      </c>
      <c r="B53" s="100" t="s">
        <v>38</v>
      </c>
      <c r="C53" s="36">
        <v>10681</v>
      </c>
      <c r="D53" s="36">
        <v>18132</v>
      </c>
      <c r="E53" s="36">
        <v>1126</v>
      </c>
      <c r="F53" s="36">
        <v>3097.2683000000002</v>
      </c>
      <c r="G53" s="36">
        <v>10692</v>
      </c>
      <c r="H53" s="36">
        <v>4397.5200000000004</v>
      </c>
      <c r="I53" s="36">
        <v>8703</v>
      </c>
      <c r="J53" s="36">
        <v>10552</v>
      </c>
      <c r="K53" s="36">
        <v>2712</v>
      </c>
      <c r="L53" s="36">
        <v>2987</v>
      </c>
      <c r="M53" s="36">
        <v>14325</v>
      </c>
      <c r="N53" s="36">
        <v>12135</v>
      </c>
      <c r="O53" s="36">
        <v>829.94434000000001</v>
      </c>
      <c r="P53" s="36">
        <v>4594.5717999999997</v>
      </c>
      <c r="Q53" s="36">
        <v>4519</v>
      </c>
      <c r="R53" s="36">
        <v>5255</v>
      </c>
      <c r="S53" s="36">
        <v>36286</v>
      </c>
      <c r="T53" s="37">
        <v>7377</v>
      </c>
      <c r="U53" s="37">
        <v>59487.129000000001</v>
      </c>
      <c r="V53" s="37">
        <v>1417</v>
      </c>
      <c r="W53" s="37">
        <v>10763.978999999999</v>
      </c>
      <c r="X53" s="37">
        <v>19202</v>
      </c>
      <c r="Y53" s="37">
        <v>6199</v>
      </c>
      <c r="Z53" s="37">
        <v>36357</v>
      </c>
      <c r="AA53" s="37">
        <v>166986.06</v>
      </c>
      <c r="AB53" s="37">
        <v>34061.605000000003</v>
      </c>
      <c r="AC53" s="37">
        <v>4914.0165999999999</v>
      </c>
      <c r="AD53" s="37">
        <v>0</v>
      </c>
      <c r="AE53" s="37">
        <v>5534</v>
      </c>
      <c r="AF53" s="127">
        <f t="shared" ref="AF53:AF60" si="22">SUM(C53:AE53)-S53</f>
        <v>467037.09403999994</v>
      </c>
      <c r="AG53" s="127">
        <f t="shared" ref="AG53:AG60" si="23">SUMIF($C$17:$AE$17,1,C53:AE53)-S53</f>
        <v>345153.47243999998</v>
      </c>
      <c r="AH53" s="127">
        <f t="shared" ref="AH53:AH60" si="24">SUMIF($C$17:$AE$17,0,C53:AE53)</f>
        <v>121883.62160000001</v>
      </c>
    </row>
    <row r="54" spans="1:34" s="32" customFormat="1" x14ac:dyDescent="0.25">
      <c r="A54" s="35" t="str">
        <f>$A$52&amp;",  2008/09"</f>
        <v>Expenditure on assets (capital expenditure),  2008/09</v>
      </c>
      <c r="B54" s="100" t="s">
        <v>38</v>
      </c>
      <c r="C54" s="36">
        <v>10144</v>
      </c>
      <c r="D54" s="36">
        <v>18525</v>
      </c>
      <c r="E54" s="36">
        <v>1271</v>
      </c>
      <c r="F54" s="36">
        <v>4435.8545000000004</v>
      </c>
      <c r="G54" s="36">
        <v>12134.358</v>
      </c>
      <c r="H54" s="36">
        <v>4038</v>
      </c>
      <c r="I54" s="36">
        <v>7910</v>
      </c>
      <c r="J54" s="36">
        <v>16578</v>
      </c>
      <c r="K54" s="36">
        <v>2950</v>
      </c>
      <c r="L54" s="36">
        <v>3201</v>
      </c>
      <c r="M54" s="36">
        <v>15537</v>
      </c>
      <c r="N54" s="36">
        <v>12811.941000000001</v>
      </c>
      <c r="O54" s="36">
        <v>1351.905</v>
      </c>
      <c r="P54" s="36">
        <v>3687.2683000000002</v>
      </c>
      <c r="Q54" s="36">
        <v>3614</v>
      </c>
      <c r="R54" s="36">
        <v>8251.2001999999993</v>
      </c>
      <c r="S54" s="36">
        <v>37398</v>
      </c>
      <c r="T54" s="36">
        <v>5604</v>
      </c>
      <c r="U54" s="36">
        <v>101738</v>
      </c>
      <c r="V54" s="36">
        <v>816</v>
      </c>
      <c r="W54" s="36">
        <v>6758</v>
      </c>
      <c r="X54" s="36">
        <v>18382.317999999999</v>
      </c>
      <c r="Y54" s="36">
        <v>10707</v>
      </c>
      <c r="Z54" s="36">
        <v>32420</v>
      </c>
      <c r="AA54" s="36">
        <v>142720</v>
      </c>
      <c r="AB54" s="36">
        <v>36960.862999999998</v>
      </c>
      <c r="AC54" s="36">
        <v>4760.1089000000002</v>
      </c>
      <c r="AD54" s="36">
        <v>24017</v>
      </c>
      <c r="AE54" s="36">
        <v>7777.7520000000004</v>
      </c>
      <c r="AF54" s="127">
        <f t="shared" si="22"/>
        <v>519101.56889999995</v>
      </c>
      <c r="AG54" s="127">
        <f t="shared" si="23"/>
        <v>388875.02780000004</v>
      </c>
      <c r="AH54" s="127">
        <f t="shared" si="24"/>
        <v>130226.5411</v>
      </c>
    </row>
    <row r="55" spans="1:34" s="32" customFormat="1" x14ac:dyDescent="0.25">
      <c r="A55" s="35" t="str">
        <f>$A$52&amp;",  2009/10"</f>
        <v>Expenditure on assets (capital expenditure),  2009/10</v>
      </c>
      <c r="B55" s="100" t="s">
        <v>38</v>
      </c>
      <c r="C55" s="36">
        <v>11863.405000000001</v>
      </c>
      <c r="D55" s="36">
        <v>21698</v>
      </c>
      <c r="E55" s="36">
        <v>1617</v>
      </c>
      <c r="F55" s="36">
        <v>5196.4477999999999</v>
      </c>
      <c r="G55" s="36">
        <v>12546.553</v>
      </c>
      <c r="H55" s="36">
        <v>5000</v>
      </c>
      <c r="I55" s="36">
        <v>6253</v>
      </c>
      <c r="J55" s="36">
        <v>13673</v>
      </c>
      <c r="K55" s="36">
        <v>2778</v>
      </c>
      <c r="L55" s="36">
        <v>3547.2055999999998</v>
      </c>
      <c r="M55" s="36">
        <v>13504</v>
      </c>
      <c r="N55" s="36">
        <v>14552.838</v>
      </c>
      <c r="O55" s="36">
        <v>1524.37</v>
      </c>
      <c r="P55" s="36">
        <v>4090.9650999999999</v>
      </c>
      <c r="Q55" s="36">
        <v>5880</v>
      </c>
      <c r="R55" s="36">
        <v>11433</v>
      </c>
      <c r="S55" s="36">
        <v>42144</v>
      </c>
      <c r="T55" s="36">
        <v>6426</v>
      </c>
      <c r="U55" s="36">
        <v>82580.929999999993</v>
      </c>
      <c r="V55" s="36">
        <v>1122</v>
      </c>
      <c r="W55" s="36">
        <v>7234</v>
      </c>
      <c r="X55" s="36">
        <v>18714</v>
      </c>
      <c r="Y55" s="36">
        <v>8110</v>
      </c>
      <c r="Z55" s="36">
        <v>36417.769999999997</v>
      </c>
      <c r="AA55" s="36">
        <v>115662</v>
      </c>
      <c r="AB55" s="36">
        <v>31333.678</v>
      </c>
      <c r="AC55" s="36">
        <v>3601.0808000000002</v>
      </c>
      <c r="AD55" s="36">
        <v>37021.902000000002</v>
      </c>
      <c r="AE55" s="36">
        <v>5588</v>
      </c>
      <c r="AF55" s="127">
        <f t="shared" si="22"/>
        <v>488969.14529999997</v>
      </c>
      <c r="AG55" s="127">
        <f t="shared" si="23"/>
        <v>362823.99549999996</v>
      </c>
      <c r="AH55" s="127">
        <f t="shared" si="24"/>
        <v>126145.1498</v>
      </c>
    </row>
    <row r="56" spans="1:34" s="32" customFormat="1" x14ac:dyDescent="0.25">
      <c r="A56" s="35" t="str">
        <f>$A$52&amp;",  2010/11"</f>
        <v>Expenditure on assets (capital expenditure),  2010/11</v>
      </c>
      <c r="B56" s="100" t="s">
        <v>38</v>
      </c>
      <c r="C56" s="36">
        <v>14964.588</v>
      </c>
      <c r="D56" s="36">
        <v>22294</v>
      </c>
      <c r="E56" s="36">
        <v>1447.9549999999999</v>
      </c>
      <c r="F56" s="36">
        <v>5563</v>
      </c>
      <c r="G56" s="36">
        <v>11363.359</v>
      </c>
      <c r="H56" s="36">
        <v>5118</v>
      </c>
      <c r="I56" s="36">
        <v>5889</v>
      </c>
      <c r="J56" s="36">
        <v>16383</v>
      </c>
      <c r="K56" s="36">
        <v>3872</v>
      </c>
      <c r="L56" s="36">
        <v>6008.2714999999998</v>
      </c>
      <c r="M56" s="36">
        <v>12184</v>
      </c>
      <c r="N56" s="36">
        <v>15244</v>
      </c>
      <c r="O56" s="36">
        <v>1896.3051</v>
      </c>
      <c r="P56" s="36">
        <v>6106.8959999999997</v>
      </c>
      <c r="Q56" s="36">
        <v>4788.1986999999999</v>
      </c>
      <c r="R56" s="36">
        <v>10559</v>
      </c>
      <c r="S56" s="36"/>
      <c r="T56" s="37">
        <v>9448</v>
      </c>
      <c r="U56" s="37">
        <v>79778</v>
      </c>
      <c r="V56" s="37">
        <v>1510</v>
      </c>
      <c r="W56" s="37">
        <v>8752</v>
      </c>
      <c r="X56" s="37">
        <v>12314</v>
      </c>
      <c r="Y56" s="37">
        <v>14017</v>
      </c>
      <c r="Z56" s="37">
        <v>36242.296999999999</v>
      </c>
      <c r="AA56" s="37">
        <v>149632</v>
      </c>
      <c r="AB56" s="37">
        <v>50329.417999999998</v>
      </c>
      <c r="AC56" s="37">
        <v>5269.8608000000004</v>
      </c>
      <c r="AD56" s="37">
        <v>27300.17</v>
      </c>
      <c r="AE56" s="37">
        <v>3956</v>
      </c>
      <c r="AF56" s="127">
        <f t="shared" si="22"/>
        <v>542230.31910000008</v>
      </c>
      <c r="AG56" s="127">
        <f t="shared" si="23"/>
        <v>407375.52759999997</v>
      </c>
      <c r="AH56" s="127">
        <f t="shared" si="24"/>
        <v>134854.79149999999</v>
      </c>
    </row>
    <row r="57" spans="1:34" s="32" customFormat="1" x14ac:dyDescent="0.25">
      <c r="A57" s="35" t="str">
        <f>$A$52&amp;",  2011/12"</f>
        <v>Expenditure on assets (capital expenditure),  2011/12</v>
      </c>
      <c r="B57" s="100" t="s">
        <v>38</v>
      </c>
      <c r="C57" s="36">
        <v>18230.044999999998</v>
      </c>
      <c r="D57" s="36">
        <v>16514</v>
      </c>
      <c r="E57" s="36">
        <v>1320.2963</v>
      </c>
      <c r="F57" s="36">
        <v>2634.4308999999998</v>
      </c>
      <c r="G57" s="36">
        <v>5883.2505000000001</v>
      </c>
      <c r="H57" s="36">
        <v>5216.4657999999999</v>
      </c>
      <c r="I57" s="36">
        <v>6571</v>
      </c>
      <c r="J57" s="36">
        <v>15463</v>
      </c>
      <c r="K57" s="36">
        <v>3628</v>
      </c>
      <c r="L57" s="36">
        <v>6123.4380000000001</v>
      </c>
      <c r="M57" s="36">
        <v>12340</v>
      </c>
      <c r="N57" s="36">
        <v>13585.8</v>
      </c>
      <c r="O57" s="36">
        <v>1183.771</v>
      </c>
      <c r="P57" s="36">
        <v>4030.9431</v>
      </c>
      <c r="Q57" s="36">
        <v>3466.5828000000001</v>
      </c>
      <c r="R57" s="36">
        <v>9584.2001999999993</v>
      </c>
      <c r="S57" s="36">
        <v>53892</v>
      </c>
      <c r="T57" s="37">
        <v>8784</v>
      </c>
      <c r="U57" s="37">
        <v>90278.68</v>
      </c>
      <c r="V57" s="37">
        <v>722</v>
      </c>
      <c r="W57" s="37">
        <v>6677.1958000000004</v>
      </c>
      <c r="X57" s="37">
        <v>16890</v>
      </c>
      <c r="Y57" s="37">
        <v>20262.578000000001</v>
      </c>
      <c r="Z57" s="37">
        <v>30059.366999999998</v>
      </c>
      <c r="AA57" s="37">
        <v>135289</v>
      </c>
      <c r="AB57" s="37">
        <v>38457.336000000003</v>
      </c>
      <c r="AC57" s="37">
        <v>4842.6719000000003</v>
      </c>
      <c r="AD57" s="37">
        <v>24819.317999999999</v>
      </c>
      <c r="AE57" s="37">
        <v>4824</v>
      </c>
      <c r="AF57" s="127">
        <f t="shared" si="22"/>
        <v>507681.37029999983</v>
      </c>
      <c r="AG57" s="127">
        <f t="shared" si="23"/>
        <v>389194.23259999999</v>
      </c>
      <c r="AH57" s="127">
        <f t="shared" si="24"/>
        <v>118487.13770000001</v>
      </c>
    </row>
    <row r="58" spans="1:34" s="32" customFormat="1" x14ac:dyDescent="0.25">
      <c r="A58" s="35" t="str">
        <f>$A$52&amp;",  2012/13"</f>
        <v>Expenditure on assets (capital expenditure),  2012/13</v>
      </c>
      <c r="B58" s="100" t="s">
        <v>138</v>
      </c>
      <c r="C58" s="36">
        <v>28857.830999999998</v>
      </c>
      <c r="D58" s="36">
        <v>17642</v>
      </c>
      <c r="E58" s="36">
        <v>1920.771</v>
      </c>
      <c r="F58" s="36">
        <v>3303.3681000000001</v>
      </c>
      <c r="G58" s="36">
        <v>13110.302</v>
      </c>
      <c r="H58" s="36">
        <v>4572.1081999999997</v>
      </c>
      <c r="I58" s="36">
        <v>6433.8</v>
      </c>
      <c r="J58" s="36">
        <v>24936</v>
      </c>
      <c r="K58" s="36">
        <v>3978.5430000000001</v>
      </c>
      <c r="L58" s="36">
        <v>6877.9291999999996</v>
      </c>
      <c r="M58" s="36">
        <v>23721.850999999999</v>
      </c>
      <c r="N58" s="36">
        <v>14022.986000000001</v>
      </c>
      <c r="O58" s="36">
        <v>4959</v>
      </c>
      <c r="P58" s="36">
        <v>7047</v>
      </c>
      <c r="Q58" s="36">
        <v>4924.5770000000002</v>
      </c>
      <c r="R58" s="36">
        <v>10884</v>
      </c>
      <c r="S58" s="36">
        <v>64948</v>
      </c>
      <c r="T58" s="37">
        <v>9655.7420000000002</v>
      </c>
      <c r="U58" s="37">
        <v>97907.164999999994</v>
      </c>
      <c r="V58" s="37">
        <v>1604</v>
      </c>
      <c r="W58" s="37">
        <v>8159.1322</v>
      </c>
      <c r="X58" s="37">
        <v>21731.155999999999</v>
      </c>
      <c r="Y58" s="37">
        <v>31561.537</v>
      </c>
      <c r="Z58" s="37">
        <v>29954.402999999998</v>
      </c>
      <c r="AA58" s="37">
        <v>148232</v>
      </c>
      <c r="AB58" s="37">
        <v>50394.336000000003</v>
      </c>
      <c r="AC58" s="37">
        <v>6025.8325000000004</v>
      </c>
      <c r="AD58" s="37">
        <v>27888.993999999999</v>
      </c>
      <c r="AE58" s="37">
        <v>4294</v>
      </c>
      <c r="AF58" s="127">
        <f t="shared" si="22"/>
        <v>614600.36420000007</v>
      </c>
      <c r="AG58" s="127">
        <f t="shared" si="23"/>
        <v>455532.75270000001</v>
      </c>
      <c r="AH58" s="127">
        <f t="shared" si="24"/>
        <v>159067.6115</v>
      </c>
    </row>
    <row r="59" spans="1:34" s="32" customFormat="1" x14ac:dyDescent="0.25">
      <c r="A59" s="35" t="str">
        <f>$A$52&amp;",  2013/14"</f>
        <v>Expenditure on assets (capital expenditure),  2013/14</v>
      </c>
      <c r="B59" s="100" t="s">
        <v>138</v>
      </c>
      <c r="C59" s="36">
        <v>19282.823</v>
      </c>
      <c r="D59" s="36">
        <v>15919</v>
      </c>
      <c r="E59" s="36">
        <v>1949.4480000000001</v>
      </c>
      <c r="F59" s="36">
        <v>2624</v>
      </c>
      <c r="G59" s="36">
        <v>16896</v>
      </c>
      <c r="H59" s="36">
        <v>5374.0644000000002</v>
      </c>
      <c r="I59" s="36">
        <v>7523.3041000000003</v>
      </c>
      <c r="J59" s="36">
        <v>16827</v>
      </c>
      <c r="K59" s="36">
        <v>4513.6859999999997</v>
      </c>
      <c r="L59" s="36">
        <v>8972.1119999999992</v>
      </c>
      <c r="M59" s="36">
        <v>37918.010999999999</v>
      </c>
      <c r="N59" s="36">
        <v>12929.684999999999</v>
      </c>
      <c r="O59" s="36">
        <v>12563.17</v>
      </c>
      <c r="P59" s="36">
        <v>5588.5941000000003</v>
      </c>
      <c r="Q59" s="36">
        <v>5194</v>
      </c>
      <c r="R59" s="36">
        <v>17378</v>
      </c>
      <c r="S59" s="36">
        <v>81790</v>
      </c>
      <c r="T59" s="37">
        <v>9984.4150000000009</v>
      </c>
      <c r="U59" s="37">
        <v>107944.8</v>
      </c>
      <c r="V59" s="37">
        <v>2710.1509999999998</v>
      </c>
      <c r="W59" s="37">
        <v>9437</v>
      </c>
      <c r="X59" s="37">
        <v>22503.044000000002</v>
      </c>
      <c r="Y59" s="37">
        <v>18898.793000000001</v>
      </c>
      <c r="Z59" s="37">
        <v>43624.275000000001</v>
      </c>
      <c r="AA59" s="37">
        <v>174264</v>
      </c>
      <c r="AB59" s="37">
        <v>51022.788999999997</v>
      </c>
      <c r="AC59" s="37">
        <v>7796.8173999999999</v>
      </c>
      <c r="AD59" s="37">
        <v>35656.228000000003</v>
      </c>
      <c r="AE59" s="37">
        <v>2607</v>
      </c>
      <c r="AF59" s="127">
        <f t="shared" si="22"/>
        <v>677902.21000000008</v>
      </c>
      <c r="AG59" s="127">
        <f t="shared" si="23"/>
        <v>491473.96050000004</v>
      </c>
      <c r="AH59" s="127">
        <f t="shared" si="24"/>
        <v>186428.24949999998</v>
      </c>
    </row>
    <row r="60" spans="1:34" s="32" customFormat="1" x14ac:dyDescent="0.25">
      <c r="A60" s="35" t="str">
        <f>$A$52&amp;",  2014/15"</f>
        <v>Expenditure on assets (capital expenditure),  2014/15</v>
      </c>
      <c r="B60" s="100" t="s">
        <v>138</v>
      </c>
      <c r="C60" s="36">
        <v>17481.223999999998</v>
      </c>
      <c r="D60" s="36">
        <v>29162</v>
      </c>
      <c r="E60" s="36">
        <v>1996.8261</v>
      </c>
      <c r="F60" s="36">
        <v>2691</v>
      </c>
      <c r="G60" s="36">
        <v>28215.786</v>
      </c>
      <c r="H60" s="36">
        <v>18869.057000000001</v>
      </c>
      <c r="I60" s="36">
        <v>9112.9974000000002</v>
      </c>
      <c r="J60" s="36">
        <v>15005.911</v>
      </c>
      <c r="K60" s="36">
        <v>8595.5360000000001</v>
      </c>
      <c r="L60" s="36">
        <v>7369.0375999999997</v>
      </c>
      <c r="M60" s="36">
        <v>27979.873</v>
      </c>
      <c r="N60" s="36">
        <v>12266.51</v>
      </c>
      <c r="O60" s="36">
        <v>1265.2324000000001</v>
      </c>
      <c r="P60" s="36">
        <v>15254</v>
      </c>
      <c r="Q60" s="36">
        <v>9903</v>
      </c>
      <c r="R60" s="36">
        <v>13253</v>
      </c>
      <c r="S60" s="36">
        <v>84875.057000000001</v>
      </c>
      <c r="T60" s="37">
        <v>13429.058000000001</v>
      </c>
      <c r="U60" s="37">
        <v>119764.99</v>
      </c>
      <c r="V60" s="37">
        <v>2117.6226000000001</v>
      </c>
      <c r="W60" s="37">
        <v>10616.025</v>
      </c>
      <c r="X60" s="37">
        <v>25125.867999999999</v>
      </c>
      <c r="Y60" s="37">
        <v>24638.434000000001</v>
      </c>
      <c r="Z60" s="37">
        <v>46081.756999999998</v>
      </c>
      <c r="AA60" s="37">
        <v>164185</v>
      </c>
      <c r="AB60" s="37">
        <v>54618.74</v>
      </c>
      <c r="AC60" s="37">
        <v>7360.6674999999996</v>
      </c>
      <c r="AD60" s="37">
        <v>31678.361000000001</v>
      </c>
      <c r="AE60" s="37">
        <v>2138</v>
      </c>
      <c r="AF60" s="127">
        <f t="shared" si="22"/>
        <v>720175.51360000006</v>
      </c>
      <c r="AG60" s="127">
        <f t="shared" si="23"/>
        <v>526086.62300000002</v>
      </c>
      <c r="AH60" s="127">
        <f t="shared" si="24"/>
        <v>194088.89060000001</v>
      </c>
    </row>
    <row r="61" spans="1:34" s="32" customFormat="1" x14ac:dyDescent="0.25">
      <c r="A61" s="35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126"/>
      <c r="AG61" s="126"/>
      <c r="AH61" s="126"/>
    </row>
    <row r="62" spans="1:34" s="32" customFormat="1" x14ac:dyDescent="0.25">
      <c r="A62" s="3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126"/>
      <c r="AG62" s="126"/>
      <c r="AH62" s="126"/>
    </row>
    <row r="63" spans="1:34" s="32" customFormat="1" x14ac:dyDescent="0.25">
      <c r="A63" s="33" t="s">
        <v>37</v>
      </c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126"/>
      <c r="AG63" s="126"/>
      <c r="AH63" s="126"/>
    </row>
    <row r="64" spans="1:34" s="32" customFormat="1" x14ac:dyDescent="0.25">
      <c r="A64" s="35" t="str">
        <f>$A$63&amp;",  2009/10"</f>
        <v>Actual commissioned assets,  2009/10</v>
      </c>
      <c r="B64" s="38" t="s">
        <v>36</v>
      </c>
      <c r="C64" s="36">
        <v>6457.0630000000001</v>
      </c>
      <c r="D64" s="36">
        <v>13308</v>
      </c>
      <c r="E64" s="36">
        <v>520</v>
      </c>
      <c r="F64" s="36">
        <v>2614.8901999999998</v>
      </c>
      <c r="G64" s="36">
        <v>10347.50541300001</v>
      </c>
      <c r="H64" s="36">
        <v>5370.6186899999984</v>
      </c>
      <c r="I64" s="36">
        <v>5803</v>
      </c>
      <c r="J64" s="36">
        <v>14297</v>
      </c>
      <c r="K64" s="36">
        <v>2986.12</v>
      </c>
      <c r="L64" s="36">
        <v>2198.657356993906</v>
      </c>
      <c r="M64" s="36">
        <v>13875</v>
      </c>
      <c r="N64" s="36">
        <v>12277</v>
      </c>
      <c r="O64" s="36">
        <v>1238</v>
      </c>
      <c r="P64" s="36">
        <v>4312</v>
      </c>
      <c r="Q64" s="36">
        <v>3930</v>
      </c>
      <c r="R64" s="36">
        <v>9183.7560491024888</v>
      </c>
      <c r="S64" s="36">
        <v>33152</v>
      </c>
      <c r="T64" s="37">
        <v>5190</v>
      </c>
      <c r="U64" s="37">
        <v>62490</v>
      </c>
      <c r="V64" s="37">
        <v>1386</v>
      </c>
      <c r="W64" s="37">
        <v>7231</v>
      </c>
      <c r="X64" s="37">
        <v>23914</v>
      </c>
      <c r="Y64" s="37">
        <v>6453</v>
      </c>
      <c r="Z64" s="37">
        <v>35310.843480000047</v>
      </c>
      <c r="AA64" s="37">
        <v>131577</v>
      </c>
      <c r="AB64" s="37">
        <v>18589.706357266448</v>
      </c>
      <c r="AC64" s="37">
        <v>3170.1214809994422</v>
      </c>
      <c r="AD64" s="37">
        <v>34579.168048745778</v>
      </c>
      <c r="AE64" s="37">
        <v>5574</v>
      </c>
      <c r="AF64" s="127">
        <f t="shared" ref="AF64:AF69" si="25">SUM(C64:AE64)-S64</f>
        <v>444183.45007610816</v>
      </c>
      <c r="AG64" s="127">
        <f t="shared" ref="AG64:AG69" si="26">SUMIF($C$17:$AE$17,1,C64:AE64)-S64</f>
        <v>335613.36077573971</v>
      </c>
      <c r="AH64" s="127">
        <f t="shared" ref="AH64:AH69" si="27">SUMIF($C$17:$AE$17,0,C64:AE64)</f>
        <v>108570.08930036839</v>
      </c>
    </row>
    <row r="65" spans="1:34" s="32" customFormat="1" x14ac:dyDescent="0.25">
      <c r="A65" s="35" t="str">
        <f>$A$63&amp;",  2010/11"</f>
        <v>Actual commissioned assets,  2010/11</v>
      </c>
      <c r="B65" s="38" t="s">
        <v>36</v>
      </c>
      <c r="C65" s="36">
        <v>10258.097</v>
      </c>
      <c r="D65" s="36">
        <v>16369</v>
      </c>
      <c r="E65" s="36">
        <v>192</v>
      </c>
      <c r="F65" s="36">
        <v>7328</v>
      </c>
      <c r="G65" s="36">
        <v>12158</v>
      </c>
      <c r="H65" s="36">
        <v>5847.5765900000006</v>
      </c>
      <c r="I65" s="36">
        <v>3021</v>
      </c>
      <c r="J65" s="36">
        <v>17595</v>
      </c>
      <c r="K65" s="36">
        <v>2629.1</v>
      </c>
      <c r="L65" s="36">
        <v>4228.7660718014849</v>
      </c>
      <c r="M65" s="36">
        <v>10295</v>
      </c>
      <c r="N65" s="36">
        <v>13451</v>
      </c>
      <c r="O65" s="36">
        <v>2093</v>
      </c>
      <c r="P65" s="36">
        <v>5710</v>
      </c>
      <c r="Q65" s="36">
        <v>5970</v>
      </c>
      <c r="R65" s="36">
        <v>14644.11016940051</v>
      </c>
      <c r="S65" s="36">
        <v>32951</v>
      </c>
      <c r="T65" s="37">
        <v>7321</v>
      </c>
      <c r="U65" s="37">
        <v>69224</v>
      </c>
      <c r="V65" s="37">
        <v>2836</v>
      </c>
      <c r="W65" s="37">
        <v>6676</v>
      </c>
      <c r="X65" s="37">
        <v>10323</v>
      </c>
      <c r="Y65" s="37">
        <v>10582</v>
      </c>
      <c r="Z65" s="37">
        <v>31589</v>
      </c>
      <c r="AA65" s="37">
        <v>121346</v>
      </c>
      <c r="AB65" s="37">
        <v>52248.476442491192</v>
      </c>
      <c r="AC65" s="37">
        <v>5414.1811770000004</v>
      </c>
      <c r="AD65" s="37">
        <v>21184.753865854698</v>
      </c>
      <c r="AE65" s="37">
        <v>3958</v>
      </c>
      <c r="AF65" s="127">
        <f t="shared" si="25"/>
        <v>474492.06131654786</v>
      </c>
      <c r="AG65" s="127">
        <f t="shared" si="26"/>
        <v>339981.29352765618</v>
      </c>
      <c r="AH65" s="127">
        <f t="shared" si="27"/>
        <v>134510.76778889174</v>
      </c>
    </row>
    <row r="66" spans="1:34" s="32" customFormat="1" x14ac:dyDescent="0.25">
      <c r="A66" s="35" t="str">
        <f>$A$63&amp;",  2011/12"</f>
        <v>Actual commissioned assets,  2011/12</v>
      </c>
      <c r="B66" s="38" t="s">
        <v>36</v>
      </c>
      <c r="C66" s="36">
        <v>7906.7193300000008</v>
      </c>
      <c r="D66" s="36">
        <v>12735</v>
      </c>
      <c r="E66" s="36">
        <v>530</v>
      </c>
      <c r="F66" s="36">
        <v>2738</v>
      </c>
      <c r="G66" s="36">
        <v>11924</v>
      </c>
      <c r="H66" s="36">
        <v>5163.2504199999948</v>
      </c>
      <c r="I66" s="36">
        <v>3772.4</v>
      </c>
      <c r="J66" s="36">
        <v>12490</v>
      </c>
      <c r="K66" s="36">
        <v>3145</v>
      </c>
      <c r="L66" s="36">
        <v>3975.9073479345429</v>
      </c>
      <c r="M66" s="36">
        <v>11094</v>
      </c>
      <c r="N66" s="36">
        <v>11639</v>
      </c>
      <c r="O66" s="36">
        <v>922</v>
      </c>
      <c r="P66" s="36">
        <v>3101</v>
      </c>
      <c r="Q66" s="36">
        <v>2331</v>
      </c>
      <c r="R66" s="36">
        <v>9926.3157178079964</v>
      </c>
      <c r="S66" s="36">
        <v>47349</v>
      </c>
      <c r="T66" s="37">
        <v>6029.5</v>
      </c>
      <c r="U66" s="37">
        <v>66670</v>
      </c>
      <c r="V66" s="37">
        <v>1386</v>
      </c>
      <c r="W66" s="37">
        <v>8815</v>
      </c>
      <c r="X66" s="37">
        <v>10306</v>
      </c>
      <c r="Y66" s="37">
        <v>13734</v>
      </c>
      <c r="Z66" s="37">
        <v>21590</v>
      </c>
      <c r="AA66" s="37">
        <v>102442</v>
      </c>
      <c r="AB66" s="37">
        <v>30526.72169533552</v>
      </c>
      <c r="AC66" s="37">
        <v>4227.6080387418624</v>
      </c>
      <c r="AD66" s="37">
        <v>15692</v>
      </c>
      <c r="AE66" s="37">
        <v>4240</v>
      </c>
      <c r="AF66" s="127">
        <f t="shared" si="25"/>
        <v>389052.42254981992</v>
      </c>
      <c r="AG66" s="127">
        <f t="shared" si="26"/>
        <v>287149.37709793454</v>
      </c>
      <c r="AH66" s="127">
        <f t="shared" si="27"/>
        <v>101903.04545188538</v>
      </c>
    </row>
    <row r="67" spans="1:34" s="32" customFormat="1" x14ac:dyDescent="0.25">
      <c r="A67" s="35" t="str">
        <f>$A$63&amp;",  2012/13"</f>
        <v>Actual commissioned assets,  2012/13</v>
      </c>
      <c r="B67" s="38" t="s">
        <v>36</v>
      </c>
      <c r="C67" s="36">
        <v>29132.036609999999</v>
      </c>
      <c r="D67" s="36">
        <v>12886</v>
      </c>
      <c r="E67" s="36">
        <v>1251</v>
      </c>
      <c r="F67" s="36">
        <v>3522</v>
      </c>
      <c r="G67" s="36">
        <v>10097</v>
      </c>
      <c r="H67" s="36">
        <v>4831.0870100000047</v>
      </c>
      <c r="I67" s="36">
        <v>10316</v>
      </c>
      <c r="J67" s="36">
        <v>23974</v>
      </c>
      <c r="K67" s="36">
        <v>3716</v>
      </c>
      <c r="L67" s="36">
        <v>6687.6319727932478</v>
      </c>
      <c r="M67" s="36">
        <v>13908</v>
      </c>
      <c r="N67" s="36">
        <v>12607</v>
      </c>
      <c r="O67" s="36">
        <v>1598.4</v>
      </c>
      <c r="P67" s="36">
        <v>3113</v>
      </c>
      <c r="Q67" s="36">
        <v>4149</v>
      </c>
      <c r="R67" s="36">
        <v>10350.2967880255</v>
      </c>
      <c r="S67" s="36">
        <v>46928</v>
      </c>
      <c r="T67" s="37">
        <v>10102</v>
      </c>
      <c r="U67" s="37">
        <v>77635</v>
      </c>
      <c r="V67" s="37">
        <v>1604</v>
      </c>
      <c r="W67" s="37">
        <v>7993</v>
      </c>
      <c r="X67" s="37">
        <v>17357</v>
      </c>
      <c r="Y67" s="37">
        <v>29409</v>
      </c>
      <c r="Z67" s="37">
        <v>20048</v>
      </c>
      <c r="AA67" s="37">
        <v>113902</v>
      </c>
      <c r="AB67" s="37">
        <v>51554.233801224662</v>
      </c>
      <c r="AC67" s="37">
        <v>4392</v>
      </c>
      <c r="AD67" s="37">
        <v>22099</v>
      </c>
      <c r="AE67" s="37">
        <v>4022</v>
      </c>
      <c r="AF67" s="127">
        <f t="shared" si="25"/>
        <v>512255.6861820434</v>
      </c>
      <c r="AG67" s="127">
        <f t="shared" si="26"/>
        <v>370648.15559279325</v>
      </c>
      <c r="AH67" s="127">
        <f t="shared" si="27"/>
        <v>141607.53058925015</v>
      </c>
    </row>
    <row r="68" spans="1:34" s="32" customFormat="1" x14ac:dyDescent="0.25">
      <c r="A68" s="35" t="str">
        <f>$A$63&amp;",  2013/14"</f>
        <v>Actual commissioned assets,  2013/14</v>
      </c>
      <c r="B68" s="38" t="s">
        <v>36</v>
      </c>
      <c r="C68" s="36">
        <v>11151.5462182996</v>
      </c>
      <c r="D68" s="36">
        <v>13374</v>
      </c>
      <c r="E68" s="36">
        <v>1738</v>
      </c>
      <c r="F68" s="36">
        <v>2320</v>
      </c>
      <c r="G68" s="36">
        <v>13490</v>
      </c>
      <c r="H68" s="36">
        <v>5764.23765</v>
      </c>
      <c r="I68" s="36">
        <v>4537.81394</v>
      </c>
      <c r="J68" s="36">
        <v>19136</v>
      </c>
      <c r="K68" s="36">
        <v>1425.835</v>
      </c>
      <c r="L68" s="36">
        <v>9278.5387407703638</v>
      </c>
      <c r="M68" s="36">
        <v>26375</v>
      </c>
      <c r="N68" s="36">
        <v>13161.471</v>
      </c>
      <c r="O68" s="36">
        <v>12561.33282</v>
      </c>
      <c r="P68" s="36">
        <v>9280</v>
      </c>
      <c r="Q68" s="36">
        <v>3322</v>
      </c>
      <c r="R68" s="36">
        <v>13951.760852359999</v>
      </c>
      <c r="S68" s="36">
        <v>73120.577999999994</v>
      </c>
      <c r="T68" s="37">
        <v>7284.8959999999997</v>
      </c>
      <c r="U68" s="37">
        <v>101470</v>
      </c>
      <c r="V68" s="37">
        <v>2004</v>
      </c>
      <c r="W68" s="37">
        <v>8907</v>
      </c>
      <c r="X68" s="37">
        <v>17754.939999999999</v>
      </c>
      <c r="Y68" s="37">
        <v>20087</v>
      </c>
      <c r="Z68" s="37">
        <v>48677</v>
      </c>
      <c r="AA68" s="37">
        <v>143062</v>
      </c>
      <c r="AB68" s="37">
        <v>32341.206300000002</v>
      </c>
      <c r="AC68" s="37">
        <v>3650</v>
      </c>
      <c r="AD68" s="37">
        <v>31975.445997742951</v>
      </c>
      <c r="AE68" s="37">
        <v>2695</v>
      </c>
      <c r="AF68" s="127">
        <f t="shared" si="25"/>
        <v>580776.02451917296</v>
      </c>
      <c r="AG68" s="127">
        <f t="shared" si="26"/>
        <v>445754.83242681291</v>
      </c>
      <c r="AH68" s="127">
        <f t="shared" si="27"/>
        <v>135021.19209236</v>
      </c>
    </row>
    <row r="69" spans="1:34" s="32" customFormat="1" x14ac:dyDescent="0.25">
      <c r="A69" s="35" t="str">
        <f>$A$63&amp;",  2014/15"</f>
        <v>Actual commissioned assets,  2014/15</v>
      </c>
      <c r="B69" s="38" t="s">
        <v>36</v>
      </c>
      <c r="C69" s="36">
        <v>18705.311427000001</v>
      </c>
      <c r="D69" s="36">
        <v>17298</v>
      </c>
      <c r="E69" s="36">
        <v>1693.4</v>
      </c>
      <c r="F69" s="36">
        <v>2274</v>
      </c>
      <c r="G69" s="36">
        <v>25260</v>
      </c>
      <c r="H69" s="36">
        <v>18615.36135999898</v>
      </c>
      <c r="I69" s="36">
        <v>8623.8225600000005</v>
      </c>
      <c r="J69" s="36">
        <v>13833.87030000001</v>
      </c>
      <c r="K69" s="36">
        <v>12354.002</v>
      </c>
      <c r="L69" s="36">
        <v>7725.5377899999958</v>
      </c>
      <c r="M69" s="36">
        <v>22346</v>
      </c>
      <c r="N69" s="36">
        <v>11814</v>
      </c>
      <c r="O69" s="36">
        <v>1093</v>
      </c>
      <c r="P69" s="36">
        <v>13773</v>
      </c>
      <c r="Q69" s="36">
        <v>2628</v>
      </c>
      <c r="R69" s="36">
        <v>10580.39279</v>
      </c>
      <c r="S69" s="36">
        <v>53513.902000000002</v>
      </c>
      <c r="T69" s="37">
        <v>23814.427</v>
      </c>
      <c r="U69" s="37">
        <v>102246.9919256</v>
      </c>
      <c r="V69" s="37">
        <v>2117.6246682000019</v>
      </c>
      <c r="W69" s="37">
        <v>10691.370234669699</v>
      </c>
      <c r="X69" s="37">
        <v>22169.27</v>
      </c>
      <c r="Y69" s="37">
        <v>25378.57769951419</v>
      </c>
      <c r="Z69" s="37">
        <v>43840</v>
      </c>
      <c r="AA69" s="37">
        <v>137234</v>
      </c>
      <c r="AB69" s="37">
        <v>30675.887009999999</v>
      </c>
      <c r="AC69" s="37">
        <v>3375.8258205790012</v>
      </c>
      <c r="AD69" s="37">
        <v>38099.89831106049</v>
      </c>
      <c r="AE69" s="37">
        <v>2062</v>
      </c>
      <c r="AF69" s="127">
        <f t="shared" si="25"/>
        <v>630323.57089662226</v>
      </c>
      <c r="AG69" s="127">
        <f t="shared" si="26"/>
        <v>486977.34804784332</v>
      </c>
      <c r="AH69" s="127">
        <f t="shared" si="27"/>
        <v>143346.222848779</v>
      </c>
    </row>
    <row r="70" spans="1:34" x14ac:dyDescent="0.25">
      <c r="AF70" s="126"/>
      <c r="AG70" s="126"/>
      <c r="AH70" s="126"/>
    </row>
    <row r="71" spans="1:34" x14ac:dyDescent="0.25">
      <c r="AF71" s="126"/>
      <c r="AG71" s="126"/>
      <c r="AH71" s="126"/>
    </row>
    <row r="72" spans="1:34" s="32" customFormat="1" x14ac:dyDescent="0.25">
      <c r="A72" s="33" t="s">
        <v>39</v>
      </c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102"/>
      <c r="AG72" s="102"/>
      <c r="AH72" s="102"/>
    </row>
    <row r="73" spans="1:34" s="32" customFormat="1" x14ac:dyDescent="0.25">
      <c r="A73" s="35" t="str">
        <f>$A$72&amp;",  2010/11"</f>
        <v>Operating expenditure allowance (nominal),  2010/11</v>
      </c>
      <c r="B73" s="38"/>
      <c r="C73" s="36">
        <v>10486.056315275446</v>
      </c>
      <c r="D73" s="36">
        <v>19723.18480848724</v>
      </c>
      <c r="E73" s="36">
        <v>0</v>
      </c>
      <c r="F73" s="36">
        <v>2624.6857229443099</v>
      </c>
      <c r="G73" s="36">
        <v>0</v>
      </c>
      <c r="H73" s="36">
        <v>6132.0522396374154</v>
      </c>
      <c r="I73" s="36">
        <v>0</v>
      </c>
      <c r="J73" s="36">
        <v>6204.691236062904</v>
      </c>
      <c r="K73" s="36">
        <v>4519.8749144208259</v>
      </c>
      <c r="L73" s="36">
        <v>6783.5902802359678</v>
      </c>
      <c r="M73" s="36">
        <v>0</v>
      </c>
      <c r="N73" s="36">
        <v>0</v>
      </c>
      <c r="O73" s="36">
        <v>2159.0527302088258</v>
      </c>
      <c r="P73" s="36">
        <v>7485.2038887098779</v>
      </c>
      <c r="Q73" s="36">
        <v>0</v>
      </c>
      <c r="R73" s="36">
        <v>0</v>
      </c>
      <c r="S73" s="36">
        <v>0</v>
      </c>
      <c r="T73" s="36">
        <v>4980.2484336147554</v>
      </c>
      <c r="U73" s="36">
        <v>67363.250768796774</v>
      </c>
      <c r="V73" s="36">
        <v>0</v>
      </c>
      <c r="W73" s="36">
        <v>8470.9864010950932</v>
      </c>
      <c r="X73" s="36">
        <v>0</v>
      </c>
      <c r="Y73" s="36">
        <v>11455.313947654389</v>
      </c>
      <c r="Z73" s="36">
        <v>26850.658570973748</v>
      </c>
      <c r="AA73" s="36">
        <v>105963.82868465818</v>
      </c>
      <c r="AB73" s="36">
        <v>0</v>
      </c>
      <c r="AC73" s="36">
        <v>0</v>
      </c>
      <c r="AD73" s="36">
        <v>29784.184265820113</v>
      </c>
      <c r="AE73" s="36">
        <v>0</v>
      </c>
      <c r="AF73" s="127"/>
      <c r="AG73" s="127">
        <f t="shared" ref="AG73:AG77" si="28">SUMIF($C$17:$AE$17,1,C73:AE73)-S73</f>
        <v>320986.8632085959</v>
      </c>
      <c r="AH73" s="127">
        <f t="shared" ref="AH73:AH77" si="29">SUMIF($C$17:$AE$17,0,C73:AE73)</f>
        <v>0</v>
      </c>
    </row>
    <row r="74" spans="1:34" s="32" customFormat="1" x14ac:dyDescent="0.25">
      <c r="A74" s="35" t="str">
        <f>$A$72&amp;",  2011/12"</f>
        <v>Operating expenditure allowance (nominal),  2011/12</v>
      </c>
      <c r="B74" s="38"/>
      <c r="C74" s="36">
        <v>10769.677272781286</v>
      </c>
      <c r="D74" s="36">
        <v>20459.940283811731</v>
      </c>
      <c r="E74" s="36">
        <v>0</v>
      </c>
      <c r="F74" s="36">
        <v>2703.4648677433279</v>
      </c>
      <c r="G74" s="36">
        <v>0</v>
      </c>
      <c r="H74" s="36">
        <v>6301.6555861120814</v>
      </c>
      <c r="I74" s="36">
        <v>0</v>
      </c>
      <c r="J74" s="36">
        <v>6419.5383028401675</v>
      </c>
      <c r="K74" s="36">
        <v>4655.2180622759379</v>
      </c>
      <c r="L74" s="36">
        <v>7006.3823264072134</v>
      </c>
      <c r="M74" s="36">
        <v>0</v>
      </c>
      <c r="N74" s="36">
        <v>0</v>
      </c>
      <c r="O74" s="36">
        <v>2261.7125727096982</v>
      </c>
      <c r="P74" s="36">
        <v>7754.3809562703609</v>
      </c>
      <c r="Q74" s="36">
        <v>0</v>
      </c>
      <c r="R74" s="36">
        <v>0</v>
      </c>
      <c r="S74" s="36">
        <v>0</v>
      </c>
      <c r="T74" s="36">
        <v>5153.9882922058459</v>
      </c>
      <c r="U74" s="36">
        <v>69672.141445106579</v>
      </c>
      <c r="V74" s="36">
        <v>0</v>
      </c>
      <c r="W74" s="36">
        <v>8698.8684246092034</v>
      </c>
      <c r="X74" s="36">
        <v>0</v>
      </c>
      <c r="Y74" s="36">
        <v>11810.885137932219</v>
      </c>
      <c r="Z74" s="36">
        <v>28047.424479714638</v>
      </c>
      <c r="AA74" s="36">
        <v>110738.02862403366</v>
      </c>
      <c r="AB74" s="36">
        <v>0</v>
      </c>
      <c r="AC74" s="36">
        <v>0</v>
      </c>
      <c r="AD74" s="36">
        <v>31122.747965808729</v>
      </c>
      <c r="AE74" s="36">
        <v>0</v>
      </c>
      <c r="AF74" s="127"/>
      <c r="AG74" s="127">
        <f t="shared" si="28"/>
        <v>333576.05460036272</v>
      </c>
      <c r="AH74" s="127">
        <f t="shared" si="29"/>
        <v>0</v>
      </c>
    </row>
    <row r="75" spans="1:34" s="32" customFormat="1" x14ac:dyDescent="0.25">
      <c r="A75" s="35" t="str">
        <f>$A$72&amp;",  2012/13"</f>
        <v>Operating expenditure allowance (nominal),  2012/13</v>
      </c>
      <c r="B75" s="38"/>
      <c r="C75" s="36">
        <v>10999.83098946927</v>
      </c>
      <c r="D75" s="36">
        <v>20999.832123125721</v>
      </c>
      <c r="E75" s="36">
        <v>0</v>
      </c>
      <c r="F75" s="36">
        <v>2775.2350452102005</v>
      </c>
      <c r="G75" s="36">
        <v>0</v>
      </c>
      <c r="H75" s="36">
        <v>6422.1555191858079</v>
      </c>
      <c r="I75" s="36">
        <v>0</v>
      </c>
      <c r="J75" s="36">
        <v>6612.0240843577267</v>
      </c>
      <c r="K75" s="36">
        <v>4764.6232059655686</v>
      </c>
      <c r="L75" s="36">
        <v>7146.6784158777782</v>
      </c>
      <c r="M75" s="36">
        <v>0</v>
      </c>
      <c r="N75" s="36">
        <v>0</v>
      </c>
      <c r="O75" s="36">
        <v>2325.766556585826</v>
      </c>
      <c r="P75" s="36">
        <v>7959.0592342224681</v>
      </c>
      <c r="Q75" s="36">
        <v>0</v>
      </c>
      <c r="R75" s="36">
        <v>0</v>
      </c>
      <c r="S75" s="36">
        <v>0</v>
      </c>
      <c r="T75" s="36">
        <v>5265.8946779284342</v>
      </c>
      <c r="U75" s="36">
        <v>71488.842928982413</v>
      </c>
      <c r="V75" s="36">
        <v>0</v>
      </c>
      <c r="W75" s="36">
        <v>8858.622500469186</v>
      </c>
      <c r="X75" s="36">
        <v>0</v>
      </c>
      <c r="Y75" s="36">
        <v>12076.669012581377</v>
      </c>
      <c r="Z75" s="36">
        <v>29436.415420227993</v>
      </c>
      <c r="AA75" s="36">
        <v>114703.18207109997</v>
      </c>
      <c r="AB75" s="36">
        <v>0</v>
      </c>
      <c r="AC75" s="36">
        <v>0</v>
      </c>
      <c r="AD75" s="36">
        <v>32063.422081938686</v>
      </c>
      <c r="AE75" s="36">
        <v>0</v>
      </c>
      <c r="AF75" s="127"/>
      <c r="AG75" s="127">
        <f t="shared" si="28"/>
        <v>343898.25386722846</v>
      </c>
      <c r="AH75" s="127">
        <f t="shared" si="29"/>
        <v>0</v>
      </c>
    </row>
    <row r="76" spans="1:34" s="32" customFormat="1" x14ac:dyDescent="0.25">
      <c r="A76" s="35" t="str">
        <f>$A$72&amp;",  2013/14"</f>
        <v>Operating expenditure allowance (nominal),  2013/14</v>
      </c>
      <c r="B76" s="38"/>
      <c r="C76" s="36">
        <v>11280.770356096045</v>
      </c>
      <c r="D76" s="36">
        <v>21633.688811439235</v>
      </c>
      <c r="E76" s="36">
        <v>0</v>
      </c>
      <c r="F76" s="36">
        <v>2845.4746533096431</v>
      </c>
      <c r="G76" s="36">
        <v>0</v>
      </c>
      <c r="H76" s="36">
        <v>6571.7669890538482</v>
      </c>
      <c r="I76" s="36">
        <v>0</v>
      </c>
      <c r="J76" s="36">
        <v>6799.3751078096811</v>
      </c>
      <c r="K76" s="36">
        <v>4885.7498828170155</v>
      </c>
      <c r="L76" s="36">
        <v>7305.8687503434257</v>
      </c>
      <c r="M76" s="36">
        <v>0</v>
      </c>
      <c r="N76" s="36">
        <v>0</v>
      </c>
      <c r="O76" s="36">
        <v>2409.7780385106776</v>
      </c>
      <c r="P76" s="36">
        <v>8195.2344487117425</v>
      </c>
      <c r="Q76" s="36">
        <v>0</v>
      </c>
      <c r="R76" s="36">
        <v>0</v>
      </c>
      <c r="S76" s="36">
        <v>0</v>
      </c>
      <c r="T76" s="36">
        <v>5395.4926016644267</v>
      </c>
      <c r="U76" s="36">
        <v>73583.219530402217</v>
      </c>
      <c r="V76" s="36">
        <v>0</v>
      </c>
      <c r="W76" s="36">
        <v>9058.2880849563226</v>
      </c>
      <c r="X76" s="36">
        <v>0</v>
      </c>
      <c r="Y76" s="36">
        <v>12398.844298537073</v>
      </c>
      <c r="Z76" s="36">
        <v>30419.526307488934</v>
      </c>
      <c r="AA76" s="36">
        <v>118910.67905112075</v>
      </c>
      <c r="AB76" s="36">
        <v>0</v>
      </c>
      <c r="AC76" s="36">
        <v>0</v>
      </c>
      <c r="AD76" s="36">
        <v>33134.124940637004</v>
      </c>
      <c r="AE76" s="36">
        <v>0</v>
      </c>
      <c r="AF76" s="127"/>
      <c r="AG76" s="127">
        <f t="shared" si="28"/>
        <v>354827.88185289805</v>
      </c>
      <c r="AH76" s="127">
        <f t="shared" si="29"/>
        <v>0</v>
      </c>
    </row>
    <row r="77" spans="1:34" s="32" customFormat="1" x14ac:dyDescent="0.25">
      <c r="A77" s="35" t="str">
        <f>$A$72&amp;",  2014/15"</f>
        <v>Operating expenditure allowance (nominal),  2014/15</v>
      </c>
      <c r="B77" s="38"/>
      <c r="C77" s="36">
        <v>11594.623029314122</v>
      </c>
      <c r="D77" s="36">
        <v>22330.603459196944</v>
      </c>
      <c r="E77" s="36">
        <v>0</v>
      </c>
      <c r="F77" s="36">
        <v>2920.6397709002285</v>
      </c>
      <c r="G77" s="36">
        <v>0</v>
      </c>
      <c r="H77" s="36">
        <v>6739.8702129727581</v>
      </c>
      <c r="I77" s="36">
        <v>0</v>
      </c>
      <c r="J77" s="36">
        <v>7017.2557638432563</v>
      </c>
      <c r="K77" s="36">
        <v>5015.8181496926263</v>
      </c>
      <c r="L77" s="36">
        <v>7485.1735837006108</v>
      </c>
      <c r="M77" s="36">
        <v>0</v>
      </c>
      <c r="N77" s="36">
        <v>0</v>
      </c>
      <c r="O77" s="36">
        <v>2484.1294160849757</v>
      </c>
      <c r="P77" s="36">
        <v>8451.33142058665</v>
      </c>
      <c r="Q77" s="36">
        <v>0</v>
      </c>
      <c r="R77" s="36">
        <v>0</v>
      </c>
      <c r="S77" s="36">
        <v>0</v>
      </c>
      <c r="T77" s="36">
        <v>5533.1658601582785</v>
      </c>
      <c r="U77" s="36">
        <v>75909.876254573246</v>
      </c>
      <c r="V77" s="36">
        <v>0</v>
      </c>
      <c r="W77" s="36">
        <v>9283.1382178078238</v>
      </c>
      <c r="X77" s="36">
        <v>0</v>
      </c>
      <c r="Y77" s="36">
        <v>12757.926710288963</v>
      </c>
      <c r="Z77" s="36">
        <v>31376.86287825611</v>
      </c>
      <c r="AA77" s="36">
        <v>123513.87046710651</v>
      </c>
      <c r="AB77" s="36">
        <v>0</v>
      </c>
      <c r="AC77" s="36">
        <v>0</v>
      </c>
      <c r="AD77" s="36">
        <v>34366.100457660774</v>
      </c>
      <c r="AE77" s="36">
        <v>0</v>
      </c>
      <c r="AF77" s="127"/>
      <c r="AG77" s="127">
        <f t="shared" si="28"/>
        <v>366780.38565214392</v>
      </c>
      <c r="AH77" s="127">
        <f t="shared" si="29"/>
        <v>0</v>
      </c>
    </row>
    <row r="78" spans="1:34" x14ac:dyDescent="0.25">
      <c r="AF78" s="126"/>
      <c r="AG78" s="126"/>
      <c r="AH78" s="126"/>
    </row>
    <row r="79" spans="1:34" s="32" customFormat="1" x14ac:dyDescent="0.25">
      <c r="A79" s="33" t="s">
        <v>40</v>
      </c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102"/>
      <c r="AG79" s="102"/>
      <c r="AH79" s="102"/>
    </row>
    <row r="80" spans="1:34" s="32" customFormat="1" x14ac:dyDescent="0.25">
      <c r="A80" s="135" t="str">
        <f>$A$79&amp;",  2009/10"</f>
        <v>Capital expenditure allowance (nominal),  2009/10</v>
      </c>
      <c r="B80" s="135"/>
      <c r="C80" s="37">
        <v>9981.0630000000001</v>
      </c>
      <c r="D80" s="37">
        <v>12763</v>
      </c>
      <c r="E80" s="37">
        <v>0</v>
      </c>
      <c r="F80" s="37">
        <v>2549.2330000000002</v>
      </c>
      <c r="G80" s="37">
        <v>0</v>
      </c>
      <c r="H80" s="37">
        <v>5076</v>
      </c>
      <c r="I80" s="37">
        <v>0</v>
      </c>
      <c r="J80" s="37">
        <v>14297</v>
      </c>
      <c r="K80" s="37">
        <v>2987</v>
      </c>
      <c r="L80" s="37">
        <v>2605.6147400000004</v>
      </c>
      <c r="M80" s="37">
        <v>0</v>
      </c>
      <c r="N80" s="37">
        <v>0</v>
      </c>
      <c r="O80" s="37">
        <v>1238.6400000000001</v>
      </c>
      <c r="P80" s="37">
        <v>5287.6619658333329</v>
      </c>
      <c r="Q80" s="37">
        <v>0</v>
      </c>
      <c r="R80" s="37">
        <v>0</v>
      </c>
      <c r="S80" s="37">
        <v>0</v>
      </c>
      <c r="T80" s="37">
        <v>5314</v>
      </c>
      <c r="U80" s="37">
        <v>63656</v>
      </c>
      <c r="V80" s="37">
        <v>0</v>
      </c>
      <c r="W80" s="37">
        <v>6682.0266626839202</v>
      </c>
      <c r="X80" s="37">
        <v>0</v>
      </c>
      <c r="Y80" s="37">
        <v>6452.6577421020011</v>
      </c>
      <c r="Z80" s="37">
        <v>35298.5557900001</v>
      </c>
      <c r="AA80" s="37">
        <v>131577</v>
      </c>
      <c r="AB80" s="37">
        <v>0</v>
      </c>
      <c r="AC80" s="37">
        <v>0</v>
      </c>
      <c r="AD80" s="37">
        <v>34983.747447013942</v>
      </c>
      <c r="AE80" s="37">
        <v>0</v>
      </c>
      <c r="AF80" s="102"/>
      <c r="AG80" s="127">
        <f t="shared" ref="AG80:AG85" si="30">SUMIF($C$17:$AE$17,1,C80:AE80)-S80</f>
        <v>340749.20034763333</v>
      </c>
      <c r="AH80" s="102"/>
    </row>
    <row r="81" spans="1:34" s="32" customFormat="1" x14ac:dyDescent="0.25">
      <c r="A81" s="35" t="str">
        <f>$A$79&amp;",  2010/11"</f>
        <v>Capital expenditure allowance (nominal),  2010/11</v>
      </c>
      <c r="B81" s="38"/>
      <c r="C81" s="36">
        <v>24098.562386393281</v>
      </c>
      <c r="D81" s="36">
        <v>20042.885055280214</v>
      </c>
      <c r="E81" s="36">
        <v>0</v>
      </c>
      <c r="F81" s="36">
        <v>5870.1685608770731</v>
      </c>
      <c r="G81" s="36">
        <v>0</v>
      </c>
      <c r="H81" s="36">
        <v>5502.0491620030361</v>
      </c>
      <c r="I81" s="36">
        <v>0</v>
      </c>
      <c r="J81" s="36">
        <v>12717.914741623148</v>
      </c>
      <c r="K81" s="36">
        <v>4091.6191989586155</v>
      </c>
      <c r="L81" s="36">
        <v>5968.5635313681105</v>
      </c>
      <c r="M81" s="36">
        <v>0</v>
      </c>
      <c r="N81" s="36">
        <v>0</v>
      </c>
      <c r="O81" s="36">
        <v>6159.2162954699461</v>
      </c>
      <c r="P81" s="36">
        <v>8689.345789854653</v>
      </c>
      <c r="Q81" s="36">
        <v>0</v>
      </c>
      <c r="R81" s="36">
        <v>0</v>
      </c>
      <c r="S81" s="36">
        <v>0</v>
      </c>
      <c r="T81" s="36">
        <v>9617.8194802400612</v>
      </c>
      <c r="U81" s="36">
        <v>74280.581309136454</v>
      </c>
      <c r="V81" s="36">
        <v>0</v>
      </c>
      <c r="W81" s="36">
        <v>8464.4550466451528</v>
      </c>
      <c r="X81" s="36">
        <v>0</v>
      </c>
      <c r="Y81" s="36">
        <v>14732.131195583452</v>
      </c>
      <c r="Z81" s="36">
        <v>37377.616039839086</v>
      </c>
      <c r="AA81" s="36">
        <v>120019.6282933935</v>
      </c>
      <c r="AB81" s="36">
        <v>0</v>
      </c>
      <c r="AC81" s="36">
        <v>0</v>
      </c>
      <c r="AD81" s="36">
        <v>28280.380597409297</v>
      </c>
      <c r="AE81" s="36">
        <v>0</v>
      </c>
      <c r="AF81" s="127"/>
      <c r="AG81" s="127">
        <f t="shared" si="30"/>
        <v>385912.93668407504</v>
      </c>
      <c r="AH81" s="127">
        <f t="shared" ref="AH81:AH85" si="31">SUMIF($C$17:$AE$17,0,C81:AE81)</f>
        <v>0</v>
      </c>
    </row>
    <row r="82" spans="1:34" s="32" customFormat="1" x14ac:dyDescent="0.25">
      <c r="A82" s="35" t="str">
        <f>$A$79&amp;",  2011/12"</f>
        <v>Capital expenditure allowance (nominal),  2011/12</v>
      </c>
      <c r="B82" s="38"/>
      <c r="C82" s="36">
        <v>22169.397532783973</v>
      </c>
      <c r="D82" s="36">
        <v>20562.093785741519</v>
      </c>
      <c r="E82" s="36">
        <v>0</v>
      </c>
      <c r="F82" s="36">
        <v>3012.9462199141931</v>
      </c>
      <c r="G82" s="36">
        <v>0</v>
      </c>
      <c r="H82" s="36">
        <v>5888.9763292164389</v>
      </c>
      <c r="I82" s="36">
        <v>0</v>
      </c>
      <c r="J82" s="36">
        <v>16295.628119961755</v>
      </c>
      <c r="K82" s="36">
        <v>3617.957498056554</v>
      </c>
      <c r="L82" s="36">
        <v>6120.5089735613219</v>
      </c>
      <c r="M82" s="36">
        <v>0</v>
      </c>
      <c r="N82" s="36">
        <v>0</v>
      </c>
      <c r="O82" s="36">
        <v>6343.2496365325369</v>
      </c>
      <c r="P82" s="36">
        <v>7625.3990827172902</v>
      </c>
      <c r="Q82" s="36">
        <v>0</v>
      </c>
      <c r="R82" s="36">
        <v>0</v>
      </c>
      <c r="S82" s="36">
        <v>0</v>
      </c>
      <c r="T82" s="36">
        <v>9875.5356247567215</v>
      </c>
      <c r="U82" s="36">
        <v>75122.705226785518</v>
      </c>
      <c r="V82" s="36">
        <v>0</v>
      </c>
      <c r="W82" s="36">
        <v>8018.6955095262529</v>
      </c>
      <c r="X82" s="36">
        <v>0</v>
      </c>
      <c r="Y82" s="36">
        <v>16509.790306497922</v>
      </c>
      <c r="Z82" s="36">
        <v>46485.646740188371</v>
      </c>
      <c r="AA82" s="36">
        <v>131068.61044637936</v>
      </c>
      <c r="AB82" s="36">
        <v>0</v>
      </c>
      <c r="AC82" s="36">
        <v>0</v>
      </c>
      <c r="AD82" s="36">
        <v>31549.758588266071</v>
      </c>
      <c r="AE82" s="36">
        <v>0</v>
      </c>
      <c r="AF82" s="127"/>
      <c r="AG82" s="127">
        <f t="shared" si="30"/>
        <v>410266.89962088579</v>
      </c>
      <c r="AH82" s="127">
        <f t="shared" si="31"/>
        <v>0</v>
      </c>
    </row>
    <row r="83" spans="1:34" s="32" customFormat="1" x14ac:dyDescent="0.25">
      <c r="A83" s="35" t="str">
        <f>$A$79&amp;",  2012/13"</f>
        <v>Capital expenditure allowance (nominal),  2012/13</v>
      </c>
      <c r="B83" s="38"/>
      <c r="C83" s="36">
        <v>29340.295849899445</v>
      </c>
      <c r="D83" s="36">
        <v>16741.2435795932</v>
      </c>
      <c r="E83" s="36">
        <v>0</v>
      </c>
      <c r="F83" s="36">
        <v>3811.7571848262128</v>
      </c>
      <c r="G83" s="36">
        <v>0</v>
      </c>
      <c r="H83" s="36">
        <v>5903.3786523138315</v>
      </c>
      <c r="I83" s="36">
        <v>0</v>
      </c>
      <c r="J83" s="36">
        <v>9830.6562620451514</v>
      </c>
      <c r="K83" s="36">
        <v>3552.4395536617048</v>
      </c>
      <c r="L83" s="36">
        <v>5697.1859676173417</v>
      </c>
      <c r="M83" s="36">
        <v>0</v>
      </c>
      <c r="N83" s="36">
        <v>0</v>
      </c>
      <c r="O83" s="36">
        <v>1905.7838145694009</v>
      </c>
      <c r="P83" s="36">
        <v>6390.7832933165973</v>
      </c>
      <c r="Q83" s="36">
        <v>0</v>
      </c>
      <c r="R83" s="36">
        <v>0</v>
      </c>
      <c r="S83" s="36">
        <v>0</v>
      </c>
      <c r="T83" s="36">
        <v>10366.171567149242</v>
      </c>
      <c r="U83" s="36">
        <v>77446.054010072083</v>
      </c>
      <c r="V83" s="36">
        <v>0</v>
      </c>
      <c r="W83" s="36">
        <v>8470.9218723328486</v>
      </c>
      <c r="X83" s="36">
        <v>0</v>
      </c>
      <c r="Y83" s="36">
        <v>15560.081308329351</v>
      </c>
      <c r="Z83" s="36">
        <v>43654.372986773335</v>
      </c>
      <c r="AA83" s="36">
        <v>142882.94195931772</v>
      </c>
      <c r="AB83" s="36">
        <v>0</v>
      </c>
      <c r="AC83" s="36">
        <v>0</v>
      </c>
      <c r="AD83" s="36">
        <v>34608.069409814809</v>
      </c>
      <c r="AE83" s="36">
        <v>0</v>
      </c>
      <c r="AF83" s="127"/>
      <c r="AG83" s="127">
        <f t="shared" si="30"/>
        <v>416162.13727163232</v>
      </c>
      <c r="AH83" s="127">
        <f t="shared" si="31"/>
        <v>0</v>
      </c>
    </row>
    <row r="84" spans="1:34" s="32" customFormat="1" x14ac:dyDescent="0.25">
      <c r="A84" s="35" t="str">
        <f>$A$79&amp;",  2013/14"</f>
        <v>Capital expenditure allowance (nominal),  2013/14</v>
      </c>
      <c r="B84" s="38"/>
      <c r="C84" s="36">
        <v>20179.4801416298</v>
      </c>
      <c r="D84" s="36">
        <v>20639.536135610404</v>
      </c>
      <c r="E84" s="36">
        <v>0</v>
      </c>
      <c r="F84" s="36">
        <v>3206.8712330157809</v>
      </c>
      <c r="G84" s="36">
        <v>0</v>
      </c>
      <c r="H84" s="36">
        <v>5966.4877321646809</v>
      </c>
      <c r="I84" s="36">
        <v>0</v>
      </c>
      <c r="J84" s="36">
        <v>11357.769713785836</v>
      </c>
      <c r="K84" s="36">
        <v>3197.2877557338447</v>
      </c>
      <c r="L84" s="36">
        <v>4435.3833643667494</v>
      </c>
      <c r="M84" s="36">
        <v>0</v>
      </c>
      <c r="N84" s="36">
        <v>0</v>
      </c>
      <c r="O84" s="36">
        <v>1558.4483373156763</v>
      </c>
      <c r="P84" s="36">
        <v>5630.9176752704807</v>
      </c>
      <c r="Q84" s="36">
        <v>0</v>
      </c>
      <c r="R84" s="36">
        <v>0</v>
      </c>
      <c r="S84" s="36">
        <v>0</v>
      </c>
      <c r="T84" s="36">
        <v>10310.510041897414</v>
      </c>
      <c r="U84" s="36">
        <v>83478.690800567143</v>
      </c>
      <c r="V84" s="36">
        <v>0</v>
      </c>
      <c r="W84" s="36">
        <v>9056.877071977322</v>
      </c>
      <c r="X84" s="36">
        <v>0</v>
      </c>
      <c r="Y84" s="36">
        <v>15039.273504979865</v>
      </c>
      <c r="Z84" s="36">
        <v>46272.300703279623</v>
      </c>
      <c r="AA84" s="36">
        <v>152682.845248414</v>
      </c>
      <c r="AB84" s="36">
        <v>0</v>
      </c>
      <c r="AC84" s="36">
        <v>0</v>
      </c>
      <c r="AD84" s="36">
        <v>35230.733512882674</v>
      </c>
      <c r="AE84" s="36">
        <v>0</v>
      </c>
      <c r="AF84" s="127"/>
      <c r="AG84" s="127">
        <f t="shared" si="30"/>
        <v>428243.4129728913</v>
      </c>
      <c r="AH84" s="127">
        <f t="shared" si="31"/>
        <v>0</v>
      </c>
    </row>
    <row r="85" spans="1:34" s="32" customFormat="1" x14ac:dyDescent="0.25">
      <c r="A85" s="35" t="str">
        <f>$A$79&amp;",  2014/15"</f>
        <v>Capital expenditure allowance (nominal),  2014/15</v>
      </c>
      <c r="B85" s="38"/>
      <c r="C85" s="36">
        <v>13595.831009777021</v>
      </c>
      <c r="D85" s="36">
        <v>19592.357033894728</v>
      </c>
      <c r="E85" s="36">
        <v>0</v>
      </c>
      <c r="F85" s="36">
        <v>3451.3129347213116</v>
      </c>
      <c r="G85" s="36">
        <v>0</v>
      </c>
      <c r="H85" s="36">
        <v>6121.6744020007181</v>
      </c>
      <c r="I85" s="36">
        <v>0</v>
      </c>
      <c r="J85" s="36">
        <v>12849.677016437978</v>
      </c>
      <c r="K85" s="36">
        <v>3223.4869778450902</v>
      </c>
      <c r="L85" s="36">
        <v>4705.4786175702502</v>
      </c>
      <c r="M85" s="36">
        <v>0</v>
      </c>
      <c r="N85" s="36">
        <v>0</v>
      </c>
      <c r="O85" s="36">
        <v>1729.7715949268061</v>
      </c>
      <c r="P85" s="36">
        <v>6405.8983114749644</v>
      </c>
      <c r="Q85" s="36">
        <v>0</v>
      </c>
      <c r="R85" s="36">
        <v>0</v>
      </c>
      <c r="S85" s="36">
        <v>0</v>
      </c>
      <c r="T85" s="36">
        <v>10184.89598193329</v>
      </c>
      <c r="U85" s="36">
        <v>88065.69384101138</v>
      </c>
      <c r="V85" s="36">
        <v>0</v>
      </c>
      <c r="W85" s="36">
        <v>8497.6486143962611</v>
      </c>
      <c r="X85" s="36">
        <v>0</v>
      </c>
      <c r="Y85" s="36">
        <v>15851.828430961748</v>
      </c>
      <c r="Z85" s="36">
        <v>29674.880711567537</v>
      </c>
      <c r="AA85" s="36">
        <v>146316.79520482279</v>
      </c>
      <c r="AB85" s="36">
        <v>0</v>
      </c>
      <c r="AC85" s="36">
        <v>0</v>
      </c>
      <c r="AD85" s="36">
        <v>37062.472177288699</v>
      </c>
      <c r="AE85" s="36">
        <v>0</v>
      </c>
      <c r="AF85" s="127"/>
      <c r="AG85" s="127">
        <f t="shared" si="30"/>
        <v>407329.70286063058</v>
      </c>
      <c r="AH85" s="127">
        <f t="shared" si="31"/>
        <v>0</v>
      </c>
    </row>
    <row r="88" spans="1:34" x14ac:dyDescent="0.25">
      <c r="F88" s="1"/>
      <c r="G88" s="1"/>
      <c r="H88" s="1"/>
      <c r="I88" s="1"/>
    </row>
    <row r="89" spans="1:34" x14ac:dyDescent="0.25"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4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4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4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4" x14ac:dyDescent="0.25">
      <c r="F93" s="1"/>
      <c r="G93" s="1"/>
      <c r="H93" s="1"/>
      <c r="I93" s="1"/>
    </row>
    <row r="94" spans="1:34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4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4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3:31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3:31" x14ac:dyDescent="0.2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W98" s="1"/>
      <c r="X98" s="1"/>
      <c r="Y98" s="1"/>
      <c r="Z98" s="1"/>
      <c r="AB98" s="1"/>
      <c r="AC98" s="1"/>
      <c r="AD98" s="1"/>
      <c r="AE98" s="1"/>
    </row>
  </sheetData>
  <sheetProtection formatColumns="0" formatRows="0"/>
  <sortState ref="B5:E33">
    <sortCondition ref="B5:B33"/>
  </sortState>
  <pageMargins left="0.70866141732283472" right="0.70866141732283472" top="0.74803149606299213" bottom="0.74803149606299213" header="0.31496062992125984" footer="0.31496062992125984"/>
  <pageSetup paperSize="9" scale="28" fitToHeight="0" orientation="landscape" r:id="rId1"/>
  <headerFooter>
    <oddFooter>&amp;L&amp;F&amp;C&amp;A&amp;R&amp;P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D97E55"/>
    <pageSetUpPr fitToPage="1"/>
  </sheetPr>
  <dimension ref="A1:L31"/>
  <sheetViews>
    <sheetView showGridLines="0" view="pageBreakPreview" zoomScaleNormal="100" zoomScaleSheetLayoutView="100" workbookViewId="0"/>
  </sheetViews>
  <sheetFormatPr defaultColWidth="8.85546875" defaultRowHeight="15" x14ac:dyDescent="0.25"/>
  <cols>
    <col min="1" max="1" width="21.140625" style="1" bestFit="1" customWidth="1"/>
    <col min="2" max="2" width="21.140625" style="1" customWidth="1"/>
    <col min="3" max="3" width="11.5703125" style="1" customWidth="1"/>
    <col min="4" max="4" width="13.85546875" style="1" bestFit="1" customWidth="1"/>
    <col min="5" max="12" width="9.140625" style="1" customWidth="1"/>
    <col min="13" max="13" width="2.5703125" style="1" customWidth="1"/>
    <col min="14" max="43" width="11.7109375" style="1" customWidth="1"/>
    <col min="44" max="16384" width="8.85546875" style="1"/>
  </cols>
  <sheetData>
    <row r="1" spans="1:12" ht="26.25" x14ac:dyDescent="0.4">
      <c r="A1" s="16" t="s">
        <v>46</v>
      </c>
      <c r="B1" s="16"/>
      <c r="C1" s="16"/>
      <c r="K1" s="30"/>
    </row>
    <row r="3" spans="1:12" x14ac:dyDescent="0.25">
      <c r="A3" s="40" t="s">
        <v>54</v>
      </c>
      <c r="B3" s="40"/>
      <c r="C3" s="78" t="s">
        <v>139</v>
      </c>
    </row>
    <row r="4" spans="1:12" x14ac:dyDescent="0.25">
      <c r="A4" s="40" t="s">
        <v>55</v>
      </c>
      <c r="B4" s="40"/>
      <c r="C4" s="86">
        <f>INDEX(Inputs!$C$19:$AH$19,MATCH('EDB Select'!$C$3,Inputs!$C$18:$AH$18,0))</f>
        <v>31</v>
      </c>
    </row>
    <row r="5" spans="1:12" x14ac:dyDescent="0.25">
      <c r="A5" s="40" t="s">
        <v>55</v>
      </c>
      <c r="B5" s="40"/>
      <c r="C5" s="86">
        <f>Output!C5</f>
        <v>31</v>
      </c>
    </row>
    <row r="9" spans="1:12" ht="30" customHeight="1" x14ac:dyDescent="0.35">
      <c r="A9" s="39" t="s">
        <v>41</v>
      </c>
      <c r="B9" s="39"/>
      <c r="C9" s="39"/>
    </row>
    <row r="10" spans="1:12" x14ac:dyDescent="0.25">
      <c r="D10" s="34" t="s">
        <v>44</v>
      </c>
      <c r="E10" s="34" t="s">
        <v>115</v>
      </c>
      <c r="F10" s="34" t="s">
        <v>114</v>
      </c>
      <c r="G10" s="34" t="s">
        <v>48</v>
      </c>
      <c r="H10" s="34" t="s">
        <v>49</v>
      </c>
      <c r="I10" s="34" t="s">
        <v>50</v>
      </c>
      <c r="J10" s="34" t="s">
        <v>51</v>
      </c>
      <c r="K10" s="34" t="s">
        <v>52</v>
      </c>
      <c r="L10" s="34" t="s">
        <v>53</v>
      </c>
    </row>
    <row r="11" spans="1:12" x14ac:dyDescent="0.25">
      <c r="A11" s="40" t="s">
        <v>57</v>
      </c>
      <c r="B11" s="40"/>
      <c r="C11" s="76"/>
      <c r="D11" s="45">
        <f>Inputs!B4</f>
        <v>8.77E-2</v>
      </c>
      <c r="E11" s="34"/>
      <c r="F11" s="34"/>
      <c r="G11" s="34"/>
      <c r="H11" s="34"/>
      <c r="I11" s="34"/>
      <c r="J11" s="34"/>
      <c r="K11" s="34"/>
      <c r="L11" s="34"/>
    </row>
    <row r="12" spans="1:12" x14ac:dyDescent="0.25">
      <c r="A12" s="40" t="s">
        <v>42</v>
      </c>
      <c r="B12" s="76"/>
      <c r="C12" s="76"/>
      <c r="D12" s="46">
        <f>Inputs!B7</f>
        <v>0.6</v>
      </c>
      <c r="E12" s="34"/>
      <c r="F12" s="34"/>
      <c r="G12" s="34"/>
      <c r="H12" s="34"/>
      <c r="I12" s="34"/>
      <c r="J12" s="34"/>
      <c r="K12" s="34"/>
      <c r="L12" s="34"/>
    </row>
    <row r="13" spans="1:12" x14ac:dyDescent="0.25">
      <c r="A13" s="40" t="s">
        <v>43</v>
      </c>
      <c r="B13" s="76"/>
      <c r="C13" s="76"/>
      <c r="D13" s="46">
        <f>Inputs!B8</f>
        <v>0.4</v>
      </c>
      <c r="E13" s="34"/>
      <c r="F13" s="34"/>
      <c r="G13" s="34"/>
      <c r="H13" s="34"/>
      <c r="I13" s="34"/>
      <c r="J13" s="34"/>
      <c r="K13" s="34"/>
      <c r="L13" s="34"/>
    </row>
    <row r="14" spans="1:12" x14ac:dyDescent="0.25">
      <c r="A14" s="41" t="s">
        <v>121</v>
      </c>
      <c r="B14" s="40"/>
      <c r="C14" s="40"/>
      <c r="D14" s="44"/>
      <c r="E14" s="44">
        <f>Inputs!C9</f>
        <v>0.86190747227304387</v>
      </c>
      <c r="F14" s="44">
        <f>Inputs!D9</f>
        <v>0.8930212948820655</v>
      </c>
      <c r="G14" s="44">
        <f>Inputs!E9</f>
        <v>0.9112791044724825</v>
      </c>
      <c r="H14" s="44">
        <f>Inputs!F9</f>
        <v>0.926670803206742</v>
      </c>
      <c r="I14" s="44">
        <f>Inputs!G9</f>
        <v>0.94500503258137469</v>
      </c>
      <c r="J14" s="44">
        <f>Inputs!H9</f>
        <v>0.9619692749141564</v>
      </c>
      <c r="K14" s="44">
        <f>Inputs!I9</f>
        <v>0.97985623585703752</v>
      </c>
      <c r="L14" s="44">
        <f>Inputs!J9</f>
        <v>1</v>
      </c>
    </row>
    <row r="15" spans="1:12" x14ac:dyDescent="0.25">
      <c r="A15" s="41" t="s">
        <v>122</v>
      </c>
      <c r="B15" s="40"/>
      <c r="C15" s="40"/>
      <c r="D15" s="44"/>
      <c r="E15" s="44">
        <f>Inputs!C10</f>
        <v>0.79396451860053141</v>
      </c>
      <c r="F15" s="44">
        <f>Inputs!D10</f>
        <v>0.87340502236492479</v>
      </c>
      <c r="G15" s="44">
        <f>Inputs!E10</f>
        <v>0.85208148804251549</v>
      </c>
      <c r="H15" s="44">
        <f>Inputs!F10</f>
        <v>0.8850752878653676</v>
      </c>
      <c r="I15" s="44">
        <f>Inputs!G10</f>
        <v>0.92006200177147923</v>
      </c>
      <c r="J15" s="44">
        <f>Inputs!H10</f>
        <v>0.93932683790965454</v>
      </c>
      <c r="K15" s="44">
        <f>Inputs!I10</f>
        <v>0.96789193976970767</v>
      </c>
      <c r="L15" s="44">
        <f>Inputs!J10</f>
        <v>1</v>
      </c>
    </row>
    <row r="16" spans="1:12" x14ac:dyDescent="0.25">
      <c r="A16" s="41" t="s">
        <v>124</v>
      </c>
      <c r="B16" s="40"/>
      <c r="C16" s="40"/>
      <c r="D16" s="44"/>
      <c r="E16" s="44">
        <f>Inputs!C11</f>
        <v>0.86641133401592707</v>
      </c>
      <c r="F16" s="44">
        <f>Inputs!D11</f>
        <v>0.89768774061433454</v>
      </c>
      <c r="G16" s="44">
        <f>Inputs!E11</f>
        <v>0.91604095563139931</v>
      </c>
      <c r="H16" s="44">
        <f>Inputs!F11</f>
        <v>0.93151308304891922</v>
      </c>
      <c r="I16" s="44">
        <f>Inputs!G11</f>
        <v>0.94994311717861202</v>
      </c>
      <c r="J16" s="44">
        <f>Inputs!H11</f>
        <v>0.96769055745164956</v>
      </c>
      <c r="K16" s="44">
        <f>Inputs!I11</f>
        <v>0.98361774744027308</v>
      </c>
      <c r="L16" s="44">
        <f>Inputs!J11</f>
        <v>1</v>
      </c>
    </row>
    <row r="17" spans="1:12" x14ac:dyDescent="0.25">
      <c r="A17" s="41" t="s">
        <v>125</v>
      </c>
      <c r="B17" s="40"/>
      <c r="C17" s="40"/>
      <c r="D17" s="44"/>
      <c r="E17" s="44">
        <f>Inputs!C12</f>
        <v>0.85451472020972352</v>
      </c>
      <c r="F17" s="44">
        <f>Inputs!D12</f>
        <v>0.94001360367016207</v>
      </c>
      <c r="G17" s="44">
        <f>Inputs!E12</f>
        <v>0.91709800667302188</v>
      </c>
      <c r="H17" s="44">
        <f>Inputs!F12</f>
        <v>0.95252646830314591</v>
      </c>
      <c r="I17" s="44">
        <f>Inputs!G12</f>
        <v>0.99022878932316494</v>
      </c>
      <c r="J17" s="44">
        <f>Inputs!H12</f>
        <v>0.99451858913250712</v>
      </c>
      <c r="K17" s="44">
        <f>Inputs!I12</f>
        <v>1.017159199237369</v>
      </c>
      <c r="L17" s="44">
        <f>Inputs!J12</f>
        <v>1</v>
      </c>
    </row>
    <row r="18" spans="1:12" x14ac:dyDescent="0.25">
      <c r="A18" s="41" t="s">
        <v>123</v>
      </c>
      <c r="B18" s="40"/>
      <c r="C18" s="40"/>
      <c r="D18" s="44"/>
      <c r="E18" s="44">
        <f>Inputs!C13</f>
        <v>0.89777436125467314</v>
      </c>
      <c r="F18" s="44">
        <f>Inputs!D13</f>
        <v>0.93342474407409881</v>
      </c>
      <c r="G18" s="44">
        <f>Inputs!E13</f>
        <v>0.94934978817617721</v>
      </c>
      <c r="H18" s="44">
        <f>Inputs!F13</f>
        <v>0.94735915766341738</v>
      </c>
      <c r="I18" s="44">
        <f>Inputs!G13</f>
        <v>0.95296911638119508</v>
      </c>
      <c r="J18" s="44">
        <f>Inputs!H13</f>
        <v>0.96434051611507754</v>
      </c>
      <c r="K18" s="44">
        <f>Inputs!I13</f>
        <v>0.97970696291981452</v>
      </c>
      <c r="L18" s="44">
        <f>Inputs!J13</f>
        <v>1</v>
      </c>
    </row>
    <row r="19" spans="1:12" x14ac:dyDescent="0.25">
      <c r="A19" s="41" t="s">
        <v>126</v>
      </c>
      <c r="B19" s="41"/>
      <c r="C19" s="41"/>
      <c r="D19" s="44"/>
      <c r="E19" s="44">
        <f>Inputs!C14</f>
        <v>0.89791855203619908</v>
      </c>
      <c r="F19" s="44">
        <f>Inputs!D14</f>
        <v>0.93357466063348415</v>
      </c>
      <c r="G19" s="44">
        <f>Inputs!E14</f>
        <v>0.94950226244343894</v>
      </c>
      <c r="H19" s="44">
        <f>Inputs!F14</f>
        <v>0.94751131221719453</v>
      </c>
      <c r="I19" s="44">
        <f>Inputs!G14</f>
        <v>0.95312217194570137</v>
      </c>
      <c r="J19" s="44">
        <f>Inputs!H14</f>
        <v>0.96271493212669679</v>
      </c>
      <c r="K19" s="44">
        <f>Inputs!I14</f>
        <v>0.97520361990950222</v>
      </c>
      <c r="L19" s="44">
        <f>Inputs!J14</f>
        <v>1</v>
      </c>
    </row>
    <row r="21" spans="1:12" ht="24.6" customHeight="1" x14ac:dyDescent="0.3">
      <c r="A21" s="31" t="s">
        <v>11</v>
      </c>
    </row>
    <row r="22" spans="1:12" x14ac:dyDescent="0.25">
      <c r="D22" s="34" t="s">
        <v>44</v>
      </c>
      <c r="E22" s="34" t="s">
        <v>115</v>
      </c>
      <c r="F22" s="34" t="s">
        <v>114</v>
      </c>
      <c r="G22" s="34" t="s">
        <v>48</v>
      </c>
      <c r="H22" s="34" t="s">
        <v>49</v>
      </c>
      <c r="I22" s="34" t="s">
        <v>50</v>
      </c>
      <c r="J22" s="34" t="s">
        <v>51</v>
      </c>
      <c r="K22" s="34" t="s">
        <v>52</v>
      </c>
      <c r="L22" s="34" t="s">
        <v>53</v>
      </c>
    </row>
    <row r="23" spans="1:12" x14ac:dyDescent="0.25">
      <c r="A23" s="41" t="s">
        <v>131</v>
      </c>
      <c r="B23" s="40"/>
      <c r="C23" s="40"/>
      <c r="D23" s="40"/>
      <c r="E23" s="47"/>
      <c r="F23" s="47"/>
      <c r="G23" s="47"/>
      <c r="H23" s="47">
        <f>INDEX(Inputs!$C$21:$AH$85,MATCH('EDB Select'!$A23&amp;",  "&amp;'EDB Select'!H$22,Inputs!$A$21:$A$85,0),MATCH($C$5,Inputs!$C$19:$AH$19,0))</f>
        <v>287088.18100811593</v>
      </c>
      <c r="I23" s="47">
        <f>INDEX(Inputs!$C$21:$AH$85,MATCH('EDB Select'!$A23&amp;",  "&amp;'EDB Select'!I$22,Inputs!$A$21:$A$85,0),MATCH($C$5,Inputs!$C$19:$AH$19,0))</f>
        <v>310721.17177715356</v>
      </c>
      <c r="J23" s="47">
        <f>INDEX(Inputs!$C$21:$AH$85,MATCH('EDB Select'!$A23&amp;",  "&amp;'EDB Select'!J$22,Inputs!$A$21:$A$85,0),MATCH($C$5,Inputs!$C$19:$AH$19,0))</f>
        <v>323027.13125599857</v>
      </c>
      <c r="K23" s="47">
        <f>INDEX(Inputs!$C$21:$AH$85,MATCH('EDB Select'!$A23&amp;",  "&amp;'EDB Select'!K$22,Inputs!$A$21:$A$85,0),MATCH($C$5,Inputs!$C$19:$AH$19,0))</f>
        <v>351243.90413086198</v>
      </c>
      <c r="L23" s="47">
        <f>INDEX(Inputs!$C$21:$AH$85,MATCH('EDB Select'!$A23&amp;",  "&amp;'EDB Select'!L$22,Inputs!$A$21:$A$85,0),MATCH($C$5,Inputs!$C$19:$AH$19,0))</f>
        <v>351314.89655046159</v>
      </c>
    </row>
    <row r="24" spans="1:12" x14ac:dyDescent="0.25">
      <c r="A24" s="41" t="s">
        <v>136</v>
      </c>
      <c r="B24" s="77"/>
      <c r="C24" s="77"/>
      <c r="D24" s="77"/>
      <c r="E24" s="47">
        <f>INDEX(Inputs!$C$21:$AH$85,MATCH('EDB Select'!$A24&amp;",  "&amp;'EDB Select'!E$22,Inputs!$A$21:$A$85,0),MATCH($C$5,Inputs!$C$19:$AH$19,0))</f>
        <v>269434.30589999998</v>
      </c>
      <c r="F24" s="47">
        <f>INDEX(Inputs!$C$21:$AH$85,MATCH('EDB Select'!$A24&amp;",  "&amp;'EDB Select'!F$22,Inputs!$A$21:$A$85,0),MATCH($C$5,Inputs!$C$19:$AH$19,0))</f>
        <v>277430.34329999995</v>
      </c>
      <c r="G24" s="47">
        <f>INDEX(Inputs!$C$21:$AH$85,MATCH('EDB Select'!$A24&amp;",  "&amp;'EDB Select'!G$22,Inputs!$A$21:$A$85,0),MATCH($C$5,Inputs!$C$19:$AH$19,0))</f>
        <v>293640.59589999996</v>
      </c>
      <c r="H24" s="47">
        <f>INDEX(Inputs!$C$21:$AH$85,MATCH('EDB Select'!$A24&amp;",  "&amp;'EDB Select'!H$22,Inputs!$A$21:$A$85,0),MATCH($C$5,Inputs!$C$19:$AH$19,0))</f>
        <v>303300.13769999996</v>
      </c>
      <c r="I24" s="47">
        <f>INDEX(Inputs!$C$21:$AH$85,MATCH('EDB Select'!$A24&amp;",  "&amp;'EDB Select'!I$22,Inputs!$A$21:$A$85,0),MATCH($C$5,Inputs!$C$19:$AH$19,0))</f>
        <v>328606.61609999998</v>
      </c>
      <c r="J24" s="47"/>
      <c r="K24" s="47"/>
      <c r="L24" s="47"/>
    </row>
    <row r="25" spans="1:12" x14ac:dyDescent="0.25">
      <c r="A25" s="41" t="s">
        <v>195</v>
      </c>
      <c r="B25" s="134"/>
      <c r="C25" s="134"/>
      <c r="D25" s="134"/>
      <c r="E25" s="47"/>
      <c r="F25" s="47"/>
      <c r="G25" s="47"/>
      <c r="H25" s="47"/>
      <c r="I25" s="47"/>
      <c r="J25" s="47">
        <f>INDEX(Inputs!$C$21:$AH$85,MATCH('EDB Select'!$A25&amp;",  "&amp;'EDB Select'!J$22,Inputs!$A$21:$A$85,0),MATCH($C$5,Inputs!$C$19:$AH$19,0))</f>
        <v>-14022.281071800002</v>
      </c>
      <c r="K25" s="47">
        <f>INDEX(Inputs!$C$21:$AH$85,MATCH('EDB Select'!$A25&amp;",  "&amp;'EDB Select'!K$22,Inputs!$A$21:$A$85,0),MATCH($C$5,Inputs!$C$19:$AH$19,0))</f>
        <v>-21375.1174173</v>
      </c>
      <c r="L25" s="47">
        <f>INDEX(Inputs!$C$21:$AH$85,MATCH('EDB Select'!$A25&amp;",  "&amp;'EDB Select'!L$22,Inputs!$A$21:$A$85,0),MATCH($C$5,Inputs!$C$19:$AH$19,0))</f>
        <v>-21717.181931147003</v>
      </c>
    </row>
    <row r="26" spans="1:12" x14ac:dyDescent="0.25">
      <c r="A26" s="41" t="s">
        <v>135</v>
      </c>
      <c r="B26" s="77"/>
      <c r="C26" s="77"/>
      <c r="D26" s="77"/>
      <c r="E26" s="47"/>
      <c r="F26" s="47"/>
      <c r="G26" s="47"/>
      <c r="H26" s="47"/>
      <c r="I26" s="47"/>
      <c r="J26" s="47">
        <f>INDEX(Inputs!$C$21:$AH$85,MATCH('EDB Select'!$A26&amp;",  "&amp;'EDB Select'!J$22,Inputs!$A$21:$A$85,0),MATCH($C$5,Inputs!$C$19:$AH$19,0))</f>
        <v>18806.541939999999</v>
      </c>
      <c r="K26" s="47">
        <f>INDEX(Inputs!$C$21:$AH$85,MATCH('EDB Select'!$A26&amp;",  "&amp;'EDB Select'!K$22,Inputs!$A$21:$A$85,0),MATCH($C$5,Inputs!$C$19:$AH$19,0))</f>
        <v>20261.619720000002</v>
      </c>
      <c r="L26" s="47">
        <f>INDEX(Inputs!$C$21:$AH$85,MATCH('EDB Select'!$A26&amp;",  "&amp;'EDB Select'!L$22,Inputs!$A$21:$A$85,0),MATCH($C$5,Inputs!$C$19:$AH$19,0))</f>
        <v>23836.592570000001</v>
      </c>
    </row>
    <row r="27" spans="1:12" x14ac:dyDescent="0.25">
      <c r="A27" s="41" t="s">
        <v>137</v>
      </c>
      <c r="B27" s="77"/>
      <c r="C27" s="77"/>
      <c r="D27" s="77"/>
      <c r="E27" s="47">
        <f>INDEX(Inputs!$C$21:$AH$85,MATCH('EDB Select'!$A27&amp;",  "&amp;'EDB Select'!E$22,Inputs!$A$21:$A$85,0),MATCH($C$5,Inputs!$C$19:$AH$19,0))</f>
        <v>345153.47243999998</v>
      </c>
      <c r="F27" s="47">
        <f>INDEX(Inputs!$C$21:$AH$85,MATCH('EDB Select'!$A27&amp;",  "&amp;'EDB Select'!F$22,Inputs!$A$21:$A$85,0),MATCH($C$5,Inputs!$C$19:$AH$19,0))</f>
        <v>388875.02780000004</v>
      </c>
      <c r="G27" s="47">
        <f>INDEX(Inputs!$C$21:$AH$85,MATCH('EDB Select'!$A27&amp;",  "&amp;'EDB Select'!G$22,Inputs!$A$21:$A$85,0),MATCH($C$5,Inputs!$C$19:$AH$19,0))</f>
        <v>362823.99549999996</v>
      </c>
      <c r="H27" s="47">
        <f>INDEX(Inputs!$C$21:$AH$85,MATCH('EDB Select'!$A27&amp;",  "&amp;'EDB Select'!H$22,Inputs!$A$21:$A$85,0),MATCH($C$5,Inputs!$C$19:$AH$19,0))</f>
        <v>407375.52759999997</v>
      </c>
      <c r="I27" s="47">
        <f>INDEX(Inputs!$C$21:$AH$85,MATCH('EDB Select'!$A27&amp;",  "&amp;'EDB Select'!I$22,Inputs!$A$21:$A$85,0),MATCH($C$5,Inputs!$C$19:$AH$19,0))</f>
        <v>389194.23259999999</v>
      </c>
      <c r="J27" s="47">
        <f>INDEX(Inputs!$C$21:$AH$85,MATCH('EDB Select'!$A27&amp;",  "&amp;'EDB Select'!J$22,Inputs!$A$21:$A$85,0),MATCH($C$5,Inputs!$C$19:$AH$19,0))</f>
        <v>455532.75270000001</v>
      </c>
      <c r="K27" s="47">
        <f>INDEX(Inputs!$C$21:$AH$85,MATCH('EDB Select'!$A27&amp;",  "&amp;'EDB Select'!K$22,Inputs!$A$21:$A$85,0),MATCH($C$5,Inputs!$C$19:$AH$19,0))</f>
        <v>491473.96050000004</v>
      </c>
      <c r="L27" s="47">
        <f>INDEX(Inputs!$C$21:$AH$85,MATCH('EDB Select'!$A27&amp;",  "&amp;'EDB Select'!L$22,Inputs!$A$21:$A$85,0),MATCH($C$5,Inputs!$C$19:$AH$19,0))</f>
        <v>526086.62300000002</v>
      </c>
    </row>
    <row r="28" spans="1:12" x14ac:dyDescent="0.25">
      <c r="A28" s="41" t="s">
        <v>37</v>
      </c>
      <c r="B28" s="41"/>
      <c r="C28" s="41"/>
      <c r="D28" s="41"/>
      <c r="E28" s="47"/>
      <c r="F28" s="47"/>
      <c r="G28" s="47">
        <f>INDEX(Inputs!$C$21:$AH$85,MATCH('EDB Select'!$A28&amp;",  "&amp;'EDB Select'!G$22,Inputs!$A$21:$A$85,0),MATCH($C$5,Inputs!$C$19:$AH$19,0))</f>
        <v>335613.36077573971</v>
      </c>
      <c r="H28" s="47">
        <f>INDEX(Inputs!$C$21:$AH$85,MATCH('EDB Select'!$A28&amp;",  "&amp;'EDB Select'!H$22,Inputs!$A$21:$A$85,0),MATCH($C$5,Inputs!$C$19:$AH$19,0))</f>
        <v>339981.29352765618</v>
      </c>
      <c r="I28" s="47">
        <f>INDEX(Inputs!$C$21:$AH$85,MATCH('EDB Select'!$A28&amp;",  "&amp;'EDB Select'!I$22,Inputs!$A$21:$A$85,0),MATCH($C$5,Inputs!$C$19:$AH$19,0))</f>
        <v>287149.37709793454</v>
      </c>
      <c r="J28" s="47">
        <f>INDEX(Inputs!$C$21:$AH$85,MATCH('EDB Select'!$A28&amp;",  "&amp;'EDB Select'!J$22,Inputs!$A$21:$A$85,0),MATCH($C$5,Inputs!$C$19:$AH$19,0))</f>
        <v>370648.15559279325</v>
      </c>
      <c r="K28" s="47">
        <f>INDEX(Inputs!$C$21:$AH$85,MATCH('EDB Select'!$A28&amp;",  "&amp;'EDB Select'!K$22,Inputs!$A$21:$A$85,0),MATCH($C$5,Inputs!$C$19:$AH$19,0))</f>
        <v>445754.83242681291</v>
      </c>
      <c r="L28" s="47">
        <f>INDEX(Inputs!$C$21:$AH$85,MATCH('EDB Select'!$A28&amp;",  "&amp;'EDB Select'!L$22,Inputs!$A$21:$A$85,0),MATCH($C$5,Inputs!$C$19:$AH$19,0))</f>
        <v>486977.34804784332</v>
      </c>
    </row>
    <row r="29" spans="1:12" x14ac:dyDescent="0.25">
      <c r="A29" s="41" t="s">
        <v>39</v>
      </c>
      <c r="B29" s="41"/>
      <c r="C29" s="41"/>
      <c r="D29" s="41"/>
      <c r="E29" s="47"/>
      <c r="F29" s="47"/>
      <c r="G29" s="47"/>
      <c r="H29" s="47">
        <f>INDEX(Inputs!$C$21:$AH$85,MATCH('EDB Select'!$A29&amp;",  "&amp;'EDB Select'!H$22,Inputs!$A$21:$A$85,0),MATCH($C$5,Inputs!$C$19:$AH$19,0))</f>
        <v>320986.8632085959</v>
      </c>
      <c r="I29" s="47">
        <f>INDEX(Inputs!$C$21:$AH$85,MATCH('EDB Select'!$A29&amp;",  "&amp;'EDB Select'!I$22,Inputs!$A$21:$A$85,0),MATCH($C$5,Inputs!$C$19:$AH$19,0))</f>
        <v>333576.05460036272</v>
      </c>
      <c r="J29" s="47">
        <f>INDEX(Inputs!$C$21:$AH$85,MATCH('EDB Select'!$A29&amp;",  "&amp;'EDB Select'!J$22,Inputs!$A$21:$A$85,0),MATCH($C$5,Inputs!$C$19:$AH$19,0))</f>
        <v>343898.25386722846</v>
      </c>
      <c r="K29" s="47">
        <f>INDEX(Inputs!$C$21:$AH$85,MATCH('EDB Select'!$A29&amp;",  "&amp;'EDB Select'!K$22,Inputs!$A$21:$A$85,0),MATCH($C$5,Inputs!$C$19:$AH$19,0))</f>
        <v>354827.88185289805</v>
      </c>
      <c r="L29" s="47">
        <f>INDEX(Inputs!$C$21:$AH$85,MATCH('EDB Select'!$A29&amp;",  "&amp;'EDB Select'!L$22,Inputs!$A$21:$A$85,0),MATCH($C$5,Inputs!$C$19:$AH$19,0))</f>
        <v>366780.38565214392</v>
      </c>
    </row>
    <row r="30" spans="1:12" x14ac:dyDescent="0.25">
      <c r="A30" s="41" t="s">
        <v>40</v>
      </c>
      <c r="B30" s="41"/>
      <c r="C30" s="41"/>
      <c r="D30" s="41"/>
      <c r="E30" s="47"/>
      <c r="F30" s="47"/>
      <c r="G30" s="47">
        <f>INDEX(Inputs!$C$21:$AH$85,MATCH('EDB Select'!$A30&amp;",  "&amp;'EDB Select'!G$22,Inputs!$A$21:$A$85,0),MATCH($C$5,Inputs!$C$19:$AH$19,0))</f>
        <v>340749.20034763333</v>
      </c>
      <c r="H30" s="47">
        <f>INDEX(Inputs!$C$21:$AH$85,MATCH('EDB Select'!$A30&amp;",  "&amp;'EDB Select'!H$22,Inputs!$A$21:$A$85,0),MATCH($C$5,Inputs!$C$19:$AH$19,0))</f>
        <v>385912.93668407504</v>
      </c>
      <c r="I30" s="47">
        <f>INDEX(Inputs!$C$21:$AH$85,MATCH('EDB Select'!$A30&amp;",  "&amp;'EDB Select'!I$22,Inputs!$A$21:$A$85,0),MATCH($C$5,Inputs!$C$19:$AH$19,0))</f>
        <v>410266.89962088579</v>
      </c>
      <c r="J30" s="47">
        <f>INDEX(Inputs!$C$21:$AH$85,MATCH('EDB Select'!$A30&amp;",  "&amp;'EDB Select'!J$22,Inputs!$A$21:$A$85,0),MATCH($C$5,Inputs!$C$19:$AH$19,0))</f>
        <v>416162.13727163232</v>
      </c>
      <c r="K30" s="47">
        <f>INDEX(Inputs!$C$21:$AH$85,MATCH('EDB Select'!$A30&amp;",  "&amp;'EDB Select'!K$22,Inputs!$A$21:$A$85,0),MATCH($C$5,Inputs!$C$19:$AH$19,0))</f>
        <v>428243.4129728913</v>
      </c>
      <c r="L30" s="47">
        <f>INDEX(Inputs!$C$21:$AH$85,MATCH('EDB Select'!$A30&amp;",  "&amp;'EDB Select'!L$22,Inputs!$A$21:$A$85,0),MATCH($C$5,Inputs!$C$19:$AH$19,0))</f>
        <v>407329.70286063058</v>
      </c>
    </row>
    <row r="31" spans="1:12" x14ac:dyDescent="0.25">
      <c r="A31" s="41"/>
      <c r="B31" s="41"/>
      <c r="C31" s="41"/>
      <c r="D31" s="41"/>
      <c r="E31" s="41"/>
      <c r="F31" s="41"/>
      <c r="G31" s="47"/>
      <c r="H31" s="47" t="str">
        <f>IFERROR(INDEX(Inputs!$C$21:$AH$85,MATCH('EDB Select'!$A31&amp;",  "&amp;'EDB Select'!H$22,Inputs!$A$21:$A$85,0),MATCH($C$5,Inputs!$C$19:$AH$19,0)),"")</f>
        <v/>
      </c>
      <c r="I31" s="47" t="str">
        <f>IFERROR(INDEX(Inputs!$C$21:$AH$85,MATCH('EDB Select'!$A31&amp;",  "&amp;'EDB Select'!I$22,Inputs!$A$21:$A$85,0),MATCH($C$5,Inputs!$C$19:$AH$19,0)),"")</f>
        <v/>
      </c>
      <c r="J31" s="47" t="str">
        <f>IFERROR(INDEX(Inputs!$C$21:$AH$85,MATCH('EDB Select'!$A31&amp;",  "&amp;'EDB Select'!J$22,Inputs!$A$21:$A$85,0),MATCH($C$5,Inputs!$C$19:$AH$19,0)),"")</f>
        <v/>
      </c>
      <c r="K31" s="47" t="str">
        <f>IFERROR(INDEX(Inputs!$C$21:$AH$85,MATCH('EDB Select'!$A31&amp;",  "&amp;'EDB Select'!K$22,Inputs!$A$21:$A$85,0),MATCH($C$5,Inputs!$C$19:$AH$19,0)),"")</f>
        <v/>
      </c>
      <c r="L31" s="47" t="str">
        <f>IFERROR(INDEX(Inputs!$C$21:$AH$85,MATCH('EDB Select'!$A31&amp;",  "&amp;'EDB Select'!L$22,Inputs!$A$21:$A$85,0),MATCH($C$5,Inputs!$C$19:$AH$19,0)),"")</f>
        <v/>
      </c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&amp;L&amp;F&amp;C&amp;A&amp;R&amp;P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Inputs!$C$18:$AH$18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D97E55"/>
    <pageSetUpPr fitToPage="1"/>
  </sheetPr>
  <dimension ref="A1:M122"/>
  <sheetViews>
    <sheetView showGridLines="0" view="pageBreakPreview" zoomScaleNormal="100" zoomScaleSheetLayoutView="100" workbookViewId="0"/>
  </sheetViews>
  <sheetFormatPr defaultRowHeight="15" x14ac:dyDescent="0.25"/>
  <cols>
    <col min="1" max="1" width="59.5703125" customWidth="1"/>
    <col min="2" max="2" width="13.85546875" bestFit="1" customWidth="1"/>
    <col min="3" max="3" width="6.5703125" bestFit="1" customWidth="1"/>
    <col min="4" max="4" width="13.28515625" customWidth="1"/>
    <col min="5" max="5" width="13.28515625" style="1" customWidth="1"/>
    <col min="6" max="8" width="11.7109375" style="1" customWidth="1"/>
    <col min="9" max="13" width="11.7109375" customWidth="1"/>
    <col min="14" max="14" width="2.5703125" customWidth="1"/>
    <col min="15" max="41" width="11.7109375" customWidth="1"/>
  </cols>
  <sheetData>
    <row r="1" spans="1:13" ht="26.25" x14ac:dyDescent="0.4">
      <c r="A1" s="16" t="s">
        <v>8</v>
      </c>
      <c r="I1" s="30"/>
    </row>
    <row r="2" spans="1:13" s="1" customFormat="1" x14ac:dyDescent="0.25"/>
    <row r="3" spans="1:13" s="1" customFormat="1" ht="21" x14ac:dyDescent="0.35">
      <c r="A3" s="39" t="s">
        <v>7</v>
      </c>
      <c r="E3" s="34" t="s">
        <v>44</v>
      </c>
      <c r="F3" s="34" t="s">
        <v>115</v>
      </c>
      <c r="G3" s="34" t="s">
        <v>114</v>
      </c>
      <c r="H3" s="34" t="s">
        <v>48</v>
      </c>
      <c r="I3" s="34" t="s">
        <v>49</v>
      </c>
      <c r="J3" s="34" t="s">
        <v>50</v>
      </c>
      <c r="K3" s="34" t="s">
        <v>51</v>
      </c>
      <c r="L3" s="34" t="s">
        <v>52</v>
      </c>
      <c r="M3" s="34" t="s">
        <v>53</v>
      </c>
    </row>
    <row r="4" spans="1:13" s="1" customFormat="1" x14ac:dyDescent="0.25">
      <c r="A4" s="40" t="s">
        <v>57</v>
      </c>
      <c r="B4" s="40"/>
      <c r="C4" s="40"/>
      <c r="D4" s="40"/>
      <c r="E4" s="94">
        <f>'EDB Select'!D11</f>
        <v>8.77E-2</v>
      </c>
      <c r="F4" s="95"/>
      <c r="G4" s="95"/>
      <c r="H4" s="95"/>
      <c r="I4" s="95"/>
      <c r="J4" s="95"/>
      <c r="K4" s="95"/>
      <c r="L4" s="95"/>
      <c r="M4" s="95"/>
    </row>
    <row r="5" spans="1:13" s="1" customFormat="1" x14ac:dyDescent="0.25">
      <c r="A5" s="40" t="s">
        <v>42</v>
      </c>
      <c r="B5" s="40"/>
      <c r="C5" s="40"/>
      <c r="D5" s="40"/>
      <c r="E5" s="96">
        <f>Inputs!B7</f>
        <v>0.6</v>
      </c>
      <c r="F5" s="95"/>
      <c r="G5" s="95"/>
      <c r="H5" s="95"/>
      <c r="I5" s="95"/>
      <c r="J5" s="95"/>
      <c r="K5" s="95"/>
      <c r="L5" s="95"/>
      <c r="M5" s="95"/>
    </row>
    <row r="6" spans="1:13" s="1" customFormat="1" x14ac:dyDescent="0.25">
      <c r="A6" s="40" t="s">
        <v>43</v>
      </c>
      <c r="B6" s="40"/>
      <c r="C6" s="40"/>
      <c r="D6" s="40"/>
      <c r="E6" s="96">
        <f>Inputs!B8</f>
        <v>0.4</v>
      </c>
      <c r="F6" s="95"/>
      <c r="G6" s="95"/>
      <c r="H6" s="95"/>
      <c r="I6" s="95"/>
      <c r="J6" s="95"/>
      <c r="K6" s="95"/>
      <c r="L6" s="95"/>
      <c r="M6" s="95"/>
    </row>
    <row r="7" spans="1:13" s="1" customFormat="1" x14ac:dyDescent="0.25">
      <c r="A7" s="41" t="s">
        <v>121</v>
      </c>
      <c r="B7" s="76"/>
      <c r="C7" s="76"/>
      <c r="D7" s="76"/>
      <c r="E7" s="95"/>
      <c r="F7" s="97">
        <f>'EDB Select'!E14</f>
        <v>0.86190747227304387</v>
      </c>
      <c r="G7" s="97">
        <f>'EDB Select'!F14</f>
        <v>0.8930212948820655</v>
      </c>
      <c r="H7" s="97">
        <f>'EDB Select'!G14</f>
        <v>0.9112791044724825</v>
      </c>
      <c r="I7" s="97">
        <f>'EDB Select'!H14</f>
        <v>0.926670803206742</v>
      </c>
      <c r="J7" s="97">
        <f>'EDB Select'!I14</f>
        <v>0.94500503258137469</v>
      </c>
      <c r="K7" s="97">
        <f>'EDB Select'!J14</f>
        <v>0.9619692749141564</v>
      </c>
      <c r="L7" s="97">
        <f>'EDB Select'!K14</f>
        <v>0.97985623585703752</v>
      </c>
      <c r="M7" s="97">
        <f>'EDB Select'!L14</f>
        <v>1</v>
      </c>
    </row>
    <row r="8" spans="1:13" s="1" customFormat="1" x14ac:dyDescent="0.25">
      <c r="A8" s="41" t="s">
        <v>122</v>
      </c>
      <c r="B8" s="76"/>
      <c r="C8" s="76"/>
      <c r="D8" s="76"/>
      <c r="E8" s="95"/>
      <c r="F8" s="97">
        <f>'EDB Select'!E15</f>
        <v>0.79396451860053141</v>
      </c>
      <c r="G8" s="97">
        <f>'EDB Select'!F15</f>
        <v>0.87340502236492479</v>
      </c>
      <c r="H8" s="97">
        <f>'EDB Select'!G15</f>
        <v>0.85208148804251549</v>
      </c>
      <c r="I8" s="97">
        <f>'EDB Select'!H15</f>
        <v>0.8850752878653676</v>
      </c>
      <c r="J8" s="97">
        <f>'EDB Select'!I15</f>
        <v>0.92006200177147923</v>
      </c>
      <c r="K8" s="97">
        <f>'EDB Select'!J15</f>
        <v>0.93932683790965454</v>
      </c>
      <c r="L8" s="97">
        <f>'EDB Select'!K15</f>
        <v>0.96789193976970767</v>
      </c>
      <c r="M8" s="97">
        <f>'EDB Select'!L15</f>
        <v>1</v>
      </c>
    </row>
    <row r="9" spans="1:13" s="1" customFormat="1" x14ac:dyDescent="0.25">
      <c r="A9" s="41" t="s">
        <v>124</v>
      </c>
      <c r="B9" s="40"/>
      <c r="C9" s="40"/>
      <c r="D9" s="40"/>
      <c r="E9" s="95"/>
      <c r="F9" s="97">
        <f>'EDB Select'!E16</f>
        <v>0.86641133401592707</v>
      </c>
      <c r="G9" s="97">
        <f>'EDB Select'!F16</f>
        <v>0.89768774061433454</v>
      </c>
      <c r="H9" s="97">
        <f>'EDB Select'!G16</f>
        <v>0.91604095563139931</v>
      </c>
      <c r="I9" s="97">
        <f>'EDB Select'!H16</f>
        <v>0.93151308304891922</v>
      </c>
      <c r="J9" s="97">
        <f>'EDB Select'!I16</f>
        <v>0.94994311717861202</v>
      </c>
      <c r="K9" s="97">
        <f>'EDB Select'!J16</f>
        <v>0.96769055745164956</v>
      </c>
      <c r="L9" s="97">
        <f>'EDB Select'!K16</f>
        <v>0.98361774744027308</v>
      </c>
      <c r="M9" s="97">
        <f>'EDB Select'!L16</f>
        <v>1</v>
      </c>
    </row>
    <row r="10" spans="1:13" s="1" customFormat="1" x14ac:dyDescent="0.25">
      <c r="A10" s="41" t="s">
        <v>125</v>
      </c>
      <c r="B10" s="40"/>
      <c r="C10" s="40"/>
      <c r="D10" s="40"/>
      <c r="E10" s="95"/>
      <c r="F10" s="97">
        <f>'EDB Select'!E17</f>
        <v>0.85451472020972352</v>
      </c>
      <c r="G10" s="97">
        <f>'EDB Select'!F17</f>
        <v>0.94001360367016207</v>
      </c>
      <c r="H10" s="97">
        <f>'EDB Select'!G17</f>
        <v>0.91709800667302188</v>
      </c>
      <c r="I10" s="97">
        <f>'EDB Select'!H17</f>
        <v>0.95252646830314591</v>
      </c>
      <c r="J10" s="97">
        <f>'EDB Select'!I17</f>
        <v>0.99022878932316494</v>
      </c>
      <c r="K10" s="97">
        <f>'EDB Select'!J17</f>
        <v>0.99451858913250712</v>
      </c>
      <c r="L10" s="97">
        <f>'EDB Select'!K17</f>
        <v>1.017159199237369</v>
      </c>
      <c r="M10" s="97">
        <f>'EDB Select'!L17</f>
        <v>1</v>
      </c>
    </row>
    <row r="11" spans="1:13" x14ac:dyDescent="0.25">
      <c r="A11" s="41" t="s">
        <v>123</v>
      </c>
      <c r="E11" s="95"/>
      <c r="F11" s="97">
        <f>'EDB Select'!E18</f>
        <v>0.89777436125467314</v>
      </c>
      <c r="G11" s="97">
        <f>'EDB Select'!F18</f>
        <v>0.93342474407409881</v>
      </c>
      <c r="H11" s="97">
        <f>'EDB Select'!G18</f>
        <v>0.94934978817617721</v>
      </c>
      <c r="I11" s="97">
        <f>'EDB Select'!H18</f>
        <v>0.94735915766341738</v>
      </c>
      <c r="J11" s="97">
        <f>'EDB Select'!I18</f>
        <v>0.95296911638119508</v>
      </c>
      <c r="K11" s="97">
        <f>'EDB Select'!J18</f>
        <v>0.96434051611507754</v>
      </c>
      <c r="L11" s="97">
        <f>'EDB Select'!K18</f>
        <v>0.97970696291981452</v>
      </c>
      <c r="M11" s="97">
        <f>'EDB Select'!L18</f>
        <v>1</v>
      </c>
    </row>
    <row r="12" spans="1:13" s="1" customFormat="1" x14ac:dyDescent="0.25">
      <c r="A12" s="41" t="s">
        <v>126</v>
      </c>
      <c r="B12" s="76"/>
      <c r="C12" s="76"/>
      <c r="D12" s="76"/>
      <c r="E12" s="95"/>
      <c r="F12" s="97">
        <f>'EDB Select'!E19</f>
        <v>0.89791855203619908</v>
      </c>
      <c r="G12" s="97">
        <f>'EDB Select'!F19</f>
        <v>0.93357466063348415</v>
      </c>
      <c r="H12" s="97">
        <f>'EDB Select'!G19</f>
        <v>0.94950226244343894</v>
      </c>
      <c r="I12" s="97">
        <f>'EDB Select'!H19</f>
        <v>0.94751131221719453</v>
      </c>
      <c r="J12" s="97">
        <f>'EDB Select'!I19</f>
        <v>0.95312217194570137</v>
      </c>
      <c r="K12" s="97">
        <f>'EDB Select'!J19</f>
        <v>0.96271493212669679</v>
      </c>
      <c r="L12" s="97">
        <f>'EDB Select'!K19</f>
        <v>0.97520361990950222</v>
      </c>
      <c r="M12" s="97">
        <f>'EDB Select'!L19</f>
        <v>1</v>
      </c>
    </row>
    <row r="13" spans="1:13" s="1" customFormat="1" x14ac:dyDescent="0.25">
      <c r="A13" s="41" t="s">
        <v>131</v>
      </c>
      <c r="B13" s="77"/>
      <c r="C13" s="77"/>
      <c r="D13" s="77"/>
      <c r="E13" s="95"/>
      <c r="F13" s="98">
        <f>'EDB Select'!E23</f>
        <v>0</v>
      </c>
      <c r="G13" s="98">
        <f>'EDB Select'!F23</f>
        <v>0</v>
      </c>
      <c r="H13" s="98">
        <f>'EDB Select'!G23</f>
        <v>0</v>
      </c>
      <c r="I13" s="98">
        <f>'EDB Select'!H23</f>
        <v>287088.18100811593</v>
      </c>
      <c r="J13" s="98">
        <f>'EDB Select'!I23</f>
        <v>310721.17177715356</v>
      </c>
      <c r="K13" s="98">
        <f>'EDB Select'!J23</f>
        <v>323027.13125599857</v>
      </c>
      <c r="L13" s="98">
        <f>'EDB Select'!K23</f>
        <v>351243.90413086198</v>
      </c>
      <c r="M13" s="98">
        <f>'EDB Select'!L23</f>
        <v>351314.89655046159</v>
      </c>
    </row>
    <row r="14" spans="1:13" s="1" customFormat="1" x14ac:dyDescent="0.25">
      <c r="A14" s="41" t="s">
        <v>136</v>
      </c>
      <c r="B14" s="77"/>
      <c r="C14" s="77"/>
      <c r="D14" s="77"/>
      <c r="E14" s="95"/>
      <c r="F14" s="98">
        <f>'EDB Select'!E24</f>
        <v>269434.30589999998</v>
      </c>
      <c r="G14" s="98">
        <f>'EDB Select'!F24</f>
        <v>277430.34329999995</v>
      </c>
      <c r="H14" s="98">
        <f>'EDB Select'!G24</f>
        <v>293640.59589999996</v>
      </c>
      <c r="I14" s="98">
        <f>'EDB Select'!H24</f>
        <v>303300.13769999996</v>
      </c>
      <c r="J14" s="98">
        <f>'EDB Select'!I24</f>
        <v>328606.61609999998</v>
      </c>
      <c r="K14" s="98"/>
      <c r="L14" s="98"/>
      <c r="M14" s="98"/>
    </row>
    <row r="15" spans="1:13" s="1" customFormat="1" x14ac:dyDescent="0.25">
      <c r="A15" s="41" t="s">
        <v>195</v>
      </c>
      <c r="B15" s="134"/>
      <c r="C15" s="134"/>
      <c r="D15" s="134"/>
      <c r="E15" s="95"/>
      <c r="F15" s="98"/>
      <c r="G15" s="98"/>
      <c r="H15" s="98"/>
      <c r="I15" s="98"/>
      <c r="J15" s="98"/>
      <c r="K15" s="98">
        <f>'EDB Select'!J25</f>
        <v>-14022.281071800002</v>
      </c>
      <c r="L15" s="98">
        <f>'EDB Select'!K25</f>
        <v>-21375.1174173</v>
      </c>
      <c r="M15" s="98">
        <f>'EDB Select'!L25</f>
        <v>-21717.181931147003</v>
      </c>
    </row>
    <row r="16" spans="1:13" s="1" customFormat="1" x14ac:dyDescent="0.25">
      <c r="A16" s="41" t="s">
        <v>135</v>
      </c>
      <c r="B16" s="77"/>
      <c r="C16" s="77"/>
      <c r="D16" s="77"/>
      <c r="E16" s="95"/>
      <c r="F16" s="98"/>
      <c r="G16" s="98"/>
      <c r="H16" s="98"/>
      <c r="I16" s="98"/>
      <c r="J16" s="98"/>
      <c r="K16" s="98">
        <f>'EDB Select'!J26</f>
        <v>18806.541939999999</v>
      </c>
      <c r="L16" s="98">
        <f>'EDB Select'!K26</f>
        <v>20261.619720000002</v>
      </c>
      <c r="M16" s="98">
        <f>'EDB Select'!L26</f>
        <v>23836.592570000001</v>
      </c>
    </row>
    <row r="17" spans="1:13" s="1" customFormat="1" x14ac:dyDescent="0.25">
      <c r="A17" s="41" t="s">
        <v>137</v>
      </c>
      <c r="B17" s="77"/>
      <c r="C17" s="77"/>
      <c r="D17" s="77"/>
      <c r="E17" s="95"/>
      <c r="F17" s="98">
        <f>'EDB Select'!E27</f>
        <v>345153.47243999998</v>
      </c>
      <c r="G17" s="98">
        <f>'EDB Select'!F27</f>
        <v>388875.02780000004</v>
      </c>
      <c r="H17" s="98">
        <f>'EDB Select'!G27</f>
        <v>362823.99549999996</v>
      </c>
      <c r="I17" s="98">
        <f>'EDB Select'!H27</f>
        <v>407375.52759999997</v>
      </c>
      <c r="J17" s="98">
        <f>'EDB Select'!I27</f>
        <v>389194.23259999999</v>
      </c>
      <c r="K17" s="98">
        <f>'EDB Select'!J27</f>
        <v>455532.75270000001</v>
      </c>
      <c r="L17" s="98">
        <f>'EDB Select'!K27</f>
        <v>491473.96050000004</v>
      </c>
      <c r="M17" s="98">
        <f>'EDB Select'!L27</f>
        <v>526086.62300000002</v>
      </c>
    </row>
    <row r="18" spans="1:13" s="1" customFormat="1" x14ac:dyDescent="0.25">
      <c r="A18" s="41" t="s">
        <v>37</v>
      </c>
      <c r="B18" s="77"/>
      <c r="C18" s="77"/>
      <c r="D18" s="77"/>
      <c r="E18" s="95"/>
      <c r="F18" s="95"/>
      <c r="G18" s="95"/>
      <c r="H18" s="98">
        <f>'EDB Select'!G28</f>
        <v>335613.36077573971</v>
      </c>
      <c r="I18" s="98">
        <f>'EDB Select'!H28</f>
        <v>339981.29352765618</v>
      </c>
      <c r="J18" s="98">
        <f>'EDB Select'!I28</f>
        <v>287149.37709793454</v>
      </c>
      <c r="K18" s="98">
        <f>'EDB Select'!J28</f>
        <v>370648.15559279325</v>
      </c>
      <c r="L18" s="98">
        <f>'EDB Select'!K28</f>
        <v>445754.83242681291</v>
      </c>
      <c r="M18" s="98">
        <f>'EDB Select'!L28</f>
        <v>486977.34804784332</v>
      </c>
    </row>
    <row r="19" spans="1:13" s="1" customFormat="1" x14ac:dyDescent="0.25">
      <c r="A19" s="41" t="s">
        <v>39</v>
      </c>
      <c r="B19" s="77"/>
      <c r="C19" s="77"/>
      <c r="D19" s="77"/>
      <c r="E19" s="95"/>
      <c r="F19" s="95"/>
      <c r="G19" s="95"/>
      <c r="H19" s="98"/>
      <c r="I19" s="98">
        <f>'EDB Select'!H29</f>
        <v>320986.8632085959</v>
      </c>
      <c r="J19" s="98">
        <f>'EDB Select'!I29</f>
        <v>333576.05460036272</v>
      </c>
      <c r="K19" s="98">
        <f>'EDB Select'!J29</f>
        <v>343898.25386722846</v>
      </c>
      <c r="L19" s="98">
        <f>'EDB Select'!K29</f>
        <v>354827.88185289805</v>
      </c>
      <c r="M19" s="98">
        <f>'EDB Select'!L29</f>
        <v>366780.38565214392</v>
      </c>
    </row>
    <row r="20" spans="1:13" s="1" customFormat="1" x14ac:dyDescent="0.25">
      <c r="A20" s="41" t="s">
        <v>40</v>
      </c>
      <c r="B20" s="77"/>
      <c r="C20" s="77"/>
      <c r="D20" s="77"/>
      <c r="E20" s="95"/>
      <c r="F20" s="95"/>
      <c r="G20" s="95"/>
      <c r="H20" s="98">
        <f>'EDB Select'!G30</f>
        <v>340749.20034763333</v>
      </c>
      <c r="I20" s="98">
        <f>'EDB Select'!H30</f>
        <v>385912.93668407504</v>
      </c>
      <c r="J20" s="98">
        <f>'EDB Select'!I30</f>
        <v>410266.89962088579</v>
      </c>
      <c r="K20" s="98">
        <f>'EDB Select'!J30</f>
        <v>416162.13727163232</v>
      </c>
      <c r="L20" s="98">
        <f>'EDB Select'!K30</f>
        <v>428243.4129728913</v>
      </c>
      <c r="M20" s="98">
        <f>'EDB Select'!L30</f>
        <v>407329.70286063058</v>
      </c>
    </row>
    <row r="21" spans="1:13" s="1" customFormat="1" x14ac:dyDescent="0.25">
      <c r="A21" s="41"/>
      <c r="B21" s="77"/>
      <c r="C21" s="77"/>
      <c r="D21" s="77"/>
      <c r="E21" s="95"/>
      <c r="F21" s="95"/>
      <c r="G21" s="95"/>
      <c r="H21" s="95"/>
      <c r="I21" s="95"/>
      <c r="J21" s="95"/>
      <c r="K21" s="95"/>
      <c r="L21" s="95"/>
      <c r="M21" s="95"/>
    </row>
    <row r="22" spans="1:13" s="1" customFormat="1" x14ac:dyDescent="0.25"/>
    <row r="23" spans="1:13" s="1" customFormat="1" ht="21" x14ac:dyDescent="0.35">
      <c r="A23" s="39" t="s">
        <v>41</v>
      </c>
    </row>
    <row r="24" spans="1:13" s="1" customFormat="1" ht="18.75" x14ac:dyDescent="0.3">
      <c r="A24" s="42" t="s">
        <v>45</v>
      </c>
      <c r="E24" s="34" t="s">
        <v>44</v>
      </c>
      <c r="F24" s="34" t="s">
        <v>115</v>
      </c>
      <c r="G24" s="34" t="s">
        <v>114</v>
      </c>
      <c r="H24" s="34" t="s">
        <v>48</v>
      </c>
      <c r="I24" s="34" t="s">
        <v>49</v>
      </c>
      <c r="J24" s="34" t="s">
        <v>50</v>
      </c>
      <c r="K24" s="34" t="s">
        <v>51</v>
      </c>
      <c r="L24" s="34" t="s">
        <v>52</v>
      </c>
      <c r="M24" s="34" t="s">
        <v>53</v>
      </c>
    </row>
    <row r="25" spans="1:13" s="1" customFormat="1" x14ac:dyDescent="0.25">
      <c r="A25" s="41" t="s">
        <v>130</v>
      </c>
      <c r="B25" s="40"/>
      <c r="C25" s="40"/>
      <c r="D25" s="40"/>
      <c r="E25" s="40"/>
      <c r="F25" s="43">
        <f t="shared" ref="F25:M25" si="0">F7*$E$5+F8*$E$6</f>
        <v>0.83473029080403893</v>
      </c>
      <c r="G25" s="43">
        <f t="shared" si="0"/>
        <v>0.88517478587520915</v>
      </c>
      <c r="H25" s="43">
        <f t="shared" si="0"/>
        <v>0.88760005790049568</v>
      </c>
      <c r="I25" s="43">
        <f t="shared" si="0"/>
        <v>0.91003259707019235</v>
      </c>
      <c r="J25" s="43">
        <f t="shared" si="0"/>
        <v>0.93502782025741649</v>
      </c>
      <c r="K25" s="43">
        <f t="shared" si="0"/>
        <v>0.95291230011235561</v>
      </c>
      <c r="L25" s="43">
        <f t="shared" si="0"/>
        <v>0.9750705174221056</v>
      </c>
      <c r="M25" s="43">
        <f t="shared" si="0"/>
        <v>1</v>
      </c>
    </row>
    <row r="26" spans="1:13" s="1" customFormat="1" x14ac:dyDescent="0.25">
      <c r="A26" s="41" t="s">
        <v>128</v>
      </c>
      <c r="B26" s="40"/>
      <c r="C26" s="40"/>
      <c r="D26" s="40"/>
      <c r="E26" s="40"/>
      <c r="F26" s="76"/>
      <c r="G26" s="76"/>
      <c r="H26" s="43">
        <f t="shared" ref="H26:M26" si="1">H25/$H$25</f>
        <v>1</v>
      </c>
      <c r="I26" s="43">
        <f t="shared" si="1"/>
        <v>1.0252732511338023</v>
      </c>
      <c r="J26" s="43">
        <f t="shared" si="1"/>
        <v>1.053433708047637</v>
      </c>
      <c r="K26" s="43">
        <f t="shared" si="1"/>
        <v>1.0735829629916289</v>
      </c>
      <c r="L26" s="43">
        <f t="shared" si="1"/>
        <v>1.0985471539158189</v>
      </c>
      <c r="M26" s="43">
        <f t="shared" si="1"/>
        <v>1.1266335452538974</v>
      </c>
    </row>
    <row r="27" spans="1:13" s="1" customFormat="1" ht="18.75" x14ac:dyDescent="0.3">
      <c r="A27" s="42" t="s">
        <v>47</v>
      </c>
      <c r="E27" s="34"/>
      <c r="F27" s="34"/>
      <c r="G27" s="34"/>
      <c r="H27" s="34"/>
      <c r="I27" s="34"/>
      <c r="J27" s="34"/>
      <c r="K27" s="34"/>
      <c r="L27" s="34"/>
      <c r="M27" s="34"/>
    </row>
    <row r="28" spans="1:13" s="1" customFormat="1" x14ac:dyDescent="0.25">
      <c r="A28" s="41" t="s">
        <v>80</v>
      </c>
      <c r="B28" s="40"/>
      <c r="C28" s="40"/>
      <c r="D28" s="40"/>
      <c r="E28" s="40"/>
      <c r="F28" s="43">
        <f t="shared" ref="F28:M28" si="2">F9*$E$5+F10*$E$6</f>
        <v>0.86165268849344567</v>
      </c>
      <c r="G28" s="43">
        <f t="shared" si="2"/>
        <v>0.91461808583666548</v>
      </c>
      <c r="H28" s="43">
        <f t="shared" si="2"/>
        <v>0.9164637760480483</v>
      </c>
      <c r="I28" s="43">
        <f t="shared" si="2"/>
        <v>0.93991843715060985</v>
      </c>
      <c r="J28" s="43">
        <f t="shared" si="2"/>
        <v>0.96605738603643321</v>
      </c>
      <c r="K28" s="43">
        <f t="shared" si="2"/>
        <v>0.97842177012399256</v>
      </c>
      <c r="L28" s="43">
        <f t="shared" si="2"/>
        <v>0.99703432815911142</v>
      </c>
      <c r="M28" s="43">
        <f t="shared" si="2"/>
        <v>1</v>
      </c>
    </row>
    <row r="29" spans="1:13" s="1" customFormat="1" x14ac:dyDescent="0.25">
      <c r="A29" s="41" t="s">
        <v>79</v>
      </c>
      <c r="B29" s="76"/>
      <c r="C29" s="76"/>
      <c r="D29" s="76"/>
      <c r="E29" s="76"/>
      <c r="F29" s="76"/>
      <c r="G29" s="76"/>
      <c r="H29" s="43">
        <f>H28/$H$28</f>
        <v>1</v>
      </c>
      <c r="I29" s="43">
        <f t="shared" ref="I29:M29" si="3">I28/$H$28</f>
        <v>1.025592567557555</v>
      </c>
      <c r="J29" s="43">
        <f t="shared" si="3"/>
        <v>1.0541140973429863</v>
      </c>
      <c r="K29" s="43">
        <f t="shared" si="3"/>
        <v>1.0676055024707227</v>
      </c>
      <c r="L29" s="43">
        <f t="shared" si="3"/>
        <v>1.0879146063562899</v>
      </c>
      <c r="M29" s="43">
        <f t="shared" si="3"/>
        <v>1.0911506009677485</v>
      </c>
    </row>
    <row r="30" spans="1:13" s="1" customFormat="1" ht="18.75" x14ac:dyDescent="0.3">
      <c r="A30" s="42" t="s">
        <v>120</v>
      </c>
      <c r="B30" s="76"/>
      <c r="C30" s="76"/>
      <c r="D30" s="76"/>
      <c r="E30" s="76"/>
      <c r="F30" s="76"/>
      <c r="G30" s="76"/>
      <c r="H30" s="43"/>
      <c r="I30" s="43"/>
      <c r="J30" s="43"/>
      <c r="K30" s="43"/>
      <c r="L30" s="43"/>
      <c r="M30" s="43"/>
    </row>
    <row r="31" spans="1:13" s="1" customFormat="1" x14ac:dyDescent="0.25">
      <c r="A31" s="41" t="s">
        <v>123</v>
      </c>
      <c r="B31" s="77"/>
      <c r="C31" s="77"/>
      <c r="D31" s="77"/>
      <c r="E31" s="77"/>
      <c r="F31" s="43">
        <f t="shared" ref="F31:M31" si="4">F11</f>
        <v>0.89777436125467314</v>
      </c>
      <c r="G31" s="43">
        <f t="shared" si="4"/>
        <v>0.93342474407409881</v>
      </c>
      <c r="H31" s="43">
        <f t="shared" si="4"/>
        <v>0.94934978817617721</v>
      </c>
      <c r="I31" s="43">
        <f t="shared" si="4"/>
        <v>0.94735915766341738</v>
      </c>
      <c r="J31" s="43">
        <f t="shared" si="4"/>
        <v>0.95296911638119508</v>
      </c>
      <c r="K31" s="43">
        <f t="shared" si="4"/>
        <v>0.96434051611507754</v>
      </c>
      <c r="L31" s="43">
        <f t="shared" si="4"/>
        <v>0.97970696291981452</v>
      </c>
      <c r="M31" s="43">
        <f t="shared" si="4"/>
        <v>1</v>
      </c>
    </row>
    <row r="32" spans="1:13" s="1" customFormat="1" x14ac:dyDescent="0.25">
      <c r="A32" s="41" t="s">
        <v>129</v>
      </c>
      <c r="B32" s="40"/>
      <c r="C32" s="40"/>
      <c r="D32" s="40"/>
      <c r="E32" s="40"/>
      <c r="F32" s="76"/>
      <c r="G32" s="76"/>
      <c r="H32" s="43">
        <f>H31/$H$31</f>
        <v>1</v>
      </c>
      <c r="I32" s="43">
        <f t="shared" ref="I32:M32" si="5">I31/$H$31</f>
        <v>0.99790316431566906</v>
      </c>
      <c r="J32" s="43">
        <f t="shared" si="5"/>
        <v>1.0038124285169654</v>
      </c>
      <c r="K32" s="43">
        <f t="shared" si="5"/>
        <v>1.0157905211815546</v>
      </c>
      <c r="L32" s="43">
        <f t="shared" si="5"/>
        <v>1.0319768067805202</v>
      </c>
      <c r="M32" s="43">
        <f t="shared" si="5"/>
        <v>1.053352528704018</v>
      </c>
    </row>
    <row r="33" spans="1:13" s="1" customFormat="1" ht="18.75" x14ac:dyDescent="0.3">
      <c r="A33" s="42" t="s">
        <v>119</v>
      </c>
      <c r="B33" s="76"/>
      <c r="C33" s="76"/>
      <c r="D33" s="76"/>
      <c r="E33" s="76"/>
      <c r="F33" s="76"/>
      <c r="G33" s="76"/>
      <c r="H33" s="43"/>
      <c r="I33" s="43"/>
      <c r="J33" s="43"/>
      <c r="K33" s="43"/>
      <c r="L33" s="43"/>
      <c r="M33" s="43"/>
    </row>
    <row r="34" spans="1:13" s="1" customFormat="1" x14ac:dyDescent="0.25">
      <c r="A34" s="41" t="s">
        <v>126</v>
      </c>
      <c r="B34" s="77"/>
      <c r="C34" s="77"/>
      <c r="D34" s="77"/>
      <c r="E34" s="77"/>
      <c r="F34" s="43">
        <f t="shared" ref="F34:M34" si="6">F12</f>
        <v>0.89791855203619908</v>
      </c>
      <c r="G34" s="43">
        <f t="shared" si="6"/>
        <v>0.93357466063348415</v>
      </c>
      <c r="H34" s="43">
        <f t="shared" si="6"/>
        <v>0.94950226244343894</v>
      </c>
      <c r="I34" s="43">
        <f t="shared" si="6"/>
        <v>0.94751131221719453</v>
      </c>
      <c r="J34" s="43">
        <f t="shared" si="6"/>
        <v>0.95312217194570137</v>
      </c>
      <c r="K34" s="43">
        <f t="shared" si="6"/>
        <v>0.96271493212669679</v>
      </c>
      <c r="L34" s="43">
        <f t="shared" si="6"/>
        <v>0.97520361990950222</v>
      </c>
      <c r="M34" s="43">
        <f t="shared" si="6"/>
        <v>1</v>
      </c>
    </row>
    <row r="35" spans="1:13" s="1" customFormat="1" x14ac:dyDescent="0.25">
      <c r="A35" s="41" t="s">
        <v>127</v>
      </c>
      <c r="B35" s="40"/>
      <c r="C35" s="40"/>
      <c r="D35" s="40"/>
      <c r="E35" s="40"/>
      <c r="F35" s="76"/>
      <c r="G35" s="76"/>
      <c r="H35" s="43">
        <f>H34/$H$34</f>
        <v>1</v>
      </c>
      <c r="I35" s="43">
        <f t="shared" ref="I35:M35" si="7">I34/$H$34</f>
        <v>0.99790316431566906</v>
      </c>
      <c r="J35" s="43">
        <f t="shared" si="7"/>
        <v>1.0038124285169654</v>
      </c>
      <c r="K35" s="43">
        <f t="shared" si="7"/>
        <v>1.0139153640869234</v>
      </c>
      <c r="L35" s="43">
        <f t="shared" si="7"/>
        <v>1.0270682424704536</v>
      </c>
      <c r="M35" s="43">
        <f t="shared" si="7"/>
        <v>1.0531833778116659</v>
      </c>
    </row>
    <row r="36" spans="1:13" s="1" customFormat="1" x14ac:dyDescent="0.25">
      <c r="A36" s="41"/>
      <c r="B36" s="135"/>
      <c r="C36" s="135"/>
      <c r="D36" s="135"/>
      <c r="E36" s="135"/>
      <c r="F36" s="135"/>
      <c r="G36" s="135"/>
      <c r="H36" s="43"/>
      <c r="I36" s="43"/>
      <c r="J36" s="43"/>
      <c r="K36" s="43"/>
      <c r="L36" s="43"/>
      <c r="M36" s="43"/>
    </row>
    <row r="37" spans="1:13" s="1" customFormat="1" ht="23.25" x14ac:dyDescent="0.35">
      <c r="A37" s="101" t="s">
        <v>205</v>
      </c>
      <c r="E37" s="34"/>
      <c r="F37" s="34"/>
      <c r="G37" s="34"/>
      <c r="H37" s="34"/>
      <c r="I37" s="34"/>
      <c r="J37" s="34"/>
      <c r="K37" s="34"/>
      <c r="L37" s="34"/>
      <c r="M37" s="34"/>
    </row>
    <row r="38" spans="1:13" s="1" customFormat="1" ht="18.75" x14ac:dyDescent="0.3">
      <c r="A38" s="42" t="s">
        <v>76</v>
      </c>
      <c r="J38" s="48">
        <v>40999</v>
      </c>
      <c r="K38" s="48">
        <f>EOMONTH(J38,12)</f>
        <v>41364</v>
      </c>
      <c r="L38" s="48">
        <f t="shared" ref="L38:M38" si="8">EOMONTH(K38,12)</f>
        <v>41729</v>
      </c>
      <c r="M38" s="48">
        <f t="shared" si="8"/>
        <v>42094</v>
      </c>
    </row>
    <row r="39" spans="1:13" s="1" customFormat="1" x14ac:dyDescent="0.25">
      <c r="A39" s="40" t="s">
        <v>56</v>
      </c>
      <c r="B39" s="40"/>
      <c r="C39" s="40"/>
      <c r="D39" s="40"/>
      <c r="E39" s="40"/>
      <c r="F39" s="76"/>
      <c r="G39" s="76"/>
      <c r="H39" s="40"/>
      <c r="I39" s="47"/>
      <c r="J39" s="47"/>
      <c r="K39" s="47">
        <f>K13-K15</f>
        <v>337049.41232779855</v>
      </c>
      <c r="L39" s="47">
        <f t="shared" ref="L39:M39" si="9">L13-L15</f>
        <v>372619.02154816198</v>
      </c>
      <c r="M39" s="47">
        <f t="shared" si="9"/>
        <v>373032.07848160859</v>
      </c>
    </row>
    <row r="40" spans="1:13" s="1" customFormat="1" x14ac:dyDescent="0.25">
      <c r="A40" s="40" t="str">
        <f>'EDB Select'!A29</f>
        <v>Operating expenditure allowance (nominal)</v>
      </c>
      <c r="B40" s="40"/>
      <c r="C40" s="40"/>
      <c r="D40" s="40"/>
      <c r="E40" s="40"/>
      <c r="F40" s="76"/>
      <c r="G40" s="76"/>
      <c r="H40" s="40"/>
      <c r="I40" s="47"/>
      <c r="J40" s="47"/>
      <c r="K40" s="47">
        <f>K19</f>
        <v>343898.25386722846</v>
      </c>
      <c r="L40" s="47">
        <f t="shared" ref="L40:M40" si="10">L19</f>
        <v>354827.88185289805</v>
      </c>
      <c r="M40" s="47">
        <f t="shared" si="10"/>
        <v>366780.38565214392</v>
      </c>
    </row>
    <row r="41" spans="1:13" s="1" customFormat="1" x14ac:dyDescent="0.25">
      <c r="A41" s="41" t="s">
        <v>161</v>
      </c>
      <c r="B41" s="110"/>
      <c r="C41" s="110"/>
      <c r="D41" s="110"/>
      <c r="E41" s="110"/>
      <c r="F41" s="110"/>
      <c r="G41" s="110"/>
      <c r="H41" s="110"/>
      <c r="I41" s="110"/>
      <c r="J41" s="117"/>
      <c r="K41" s="117">
        <f>1/(1+WACC)^((K38-$J$38)/365)</f>
        <v>0.91937115013330895</v>
      </c>
      <c r="L41" s="117">
        <f>1/(1+WACC)^((L38-$J$38)/365)</f>
        <v>0.84524331169744327</v>
      </c>
      <c r="M41" s="117">
        <f>1/(1+WACC)^((M38-$J$38)/365)</f>
        <v>0.77709231561776537</v>
      </c>
    </row>
    <row r="42" spans="1:13" s="1" customFormat="1" x14ac:dyDescent="0.25"/>
    <row r="43" spans="1:13" s="1" customFormat="1" x14ac:dyDescent="0.25">
      <c r="A43" s="41" t="s">
        <v>68</v>
      </c>
      <c r="B43" s="40"/>
      <c r="C43" s="40"/>
      <c r="D43" s="40"/>
      <c r="E43" s="65">
        <f>SUMPRODUCT(K39:M39,$K$41:$M$41)/1000</f>
        <v>914.7076033053745</v>
      </c>
      <c r="F43" s="91"/>
      <c r="G43" s="91"/>
      <c r="J43" s="116"/>
      <c r="K43" s="115"/>
      <c r="L43" s="115"/>
      <c r="M43" s="115"/>
    </row>
    <row r="44" spans="1:13" s="1" customFormat="1" x14ac:dyDescent="0.25">
      <c r="A44" s="41" t="s">
        <v>69</v>
      </c>
      <c r="B44" s="40"/>
      <c r="C44" s="40"/>
      <c r="D44" s="40"/>
      <c r="E44" s="65">
        <f>SUMPRODUCT(K40:M40,$K$41:$M$41)/1000</f>
        <v>901.10824633628465</v>
      </c>
      <c r="F44" s="91"/>
      <c r="G44" s="91"/>
    </row>
    <row r="45" spans="1:13" s="1" customFormat="1" x14ac:dyDescent="0.25">
      <c r="A45" s="40" t="s">
        <v>60</v>
      </c>
      <c r="B45" s="40"/>
      <c r="C45" s="40"/>
      <c r="D45" s="40"/>
      <c r="E45" s="66">
        <f>E43/E44-1</f>
        <v>1.5091812803158744E-2</v>
      </c>
      <c r="F45" s="92"/>
      <c r="G45" s="92"/>
    </row>
    <row r="46" spans="1:13" s="1" customFormat="1" x14ac:dyDescent="0.25"/>
    <row r="47" spans="1:13" s="1" customFormat="1" ht="18.75" x14ac:dyDescent="0.3">
      <c r="A47" s="42" t="s">
        <v>199</v>
      </c>
      <c r="J47" s="48">
        <v>40999</v>
      </c>
      <c r="K47" s="48">
        <f>EOMONTH(J47,12)</f>
        <v>41364</v>
      </c>
      <c r="L47" s="48">
        <f t="shared" ref="L47:M47" si="11">EOMONTH(K47,12)</f>
        <v>41729</v>
      </c>
      <c r="M47" s="48">
        <f t="shared" si="11"/>
        <v>42094</v>
      </c>
    </row>
    <row r="48" spans="1:13" s="1" customFormat="1" x14ac:dyDescent="0.25">
      <c r="A48" s="40" t="str">
        <f>'EDB Select'!A28</f>
        <v>Actual commissioned assets</v>
      </c>
      <c r="B48" s="40"/>
      <c r="C48" s="40"/>
      <c r="D48" s="40"/>
      <c r="E48" s="40"/>
      <c r="F48" s="76"/>
      <c r="G48" s="76"/>
      <c r="H48" s="40"/>
      <c r="I48" s="47"/>
      <c r="J48" s="47"/>
      <c r="K48" s="47">
        <f>K18</f>
        <v>370648.15559279325</v>
      </c>
      <c r="L48" s="47">
        <f>L18</f>
        <v>445754.83242681291</v>
      </c>
      <c r="M48" s="47">
        <f>M18</f>
        <v>486977.34804784332</v>
      </c>
    </row>
    <row r="49" spans="1:13" s="1" customFormat="1" x14ac:dyDescent="0.25">
      <c r="A49" s="40" t="str">
        <f>'EDB Select'!A30</f>
        <v>Capital expenditure allowance (nominal)</v>
      </c>
      <c r="B49" s="40"/>
      <c r="C49" s="40"/>
      <c r="D49" s="40"/>
      <c r="E49" s="40"/>
      <c r="F49" s="76"/>
      <c r="G49" s="76"/>
      <c r="H49" s="40"/>
      <c r="I49" s="47"/>
      <c r="J49" s="47"/>
      <c r="K49" s="47">
        <f>K20</f>
        <v>416162.13727163232</v>
      </c>
      <c r="L49" s="47">
        <f t="shared" ref="L49:M49" si="12">L20</f>
        <v>428243.4129728913</v>
      </c>
      <c r="M49" s="47">
        <f t="shared" si="12"/>
        <v>407329.70286063058</v>
      </c>
    </row>
    <row r="50" spans="1:13" s="1" customFormat="1" x14ac:dyDescent="0.25">
      <c r="A50" s="41" t="s">
        <v>161</v>
      </c>
      <c r="B50" s="110"/>
      <c r="C50" s="110"/>
      <c r="D50" s="110"/>
      <c r="E50" s="110"/>
      <c r="F50" s="110"/>
      <c r="G50" s="110"/>
      <c r="H50" s="110"/>
      <c r="I50" s="110"/>
      <c r="J50" s="117"/>
      <c r="K50" s="117">
        <f>1/(1+WACC)^((K47-$J$47)/365)</f>
        <v>0.91937115013330895</v>
      </c>
      <c r="L50" s="117">
        <f>1/(1+WACC)^((L47-$J$47)/365)</f>
        <v>0.84524331169744327</v>
      </c>
      <c r="M50" s="117">
        <f>1/(1+WACC)^((M47-$J$47)/365)</f>
        <v>0.77709231561776537</v>
      </c>
    </row>
    <row r="51" spans="1:13" s="1" customFormat="1" x14ac:dyDescent="0.25"/>
    <row r="52" spans="1:13" s="1" customFormat="1" x14ac:dyDescent="0.25">
      <c r="A52" s="41" t="s">
        <v>70</v>
      </c>
      <c r="B52" s="40"/>
      <c r="C52" s="40"/>
      <c r="D52" s="40"/>
      <c r="E52" s="65">
        <f>SUMPRODUCT(K48:M48,$K$50:$M$50)/1000</f>
        <v>1095.9608669156112</v>
      </c>
      <c r="F52" s="91"/>
      <c r="G52" s="91"/>
    </row>
    <row r="53" spans="1:13" s="1" customFormat="1" x14ac:dyDescent="0.25">
      <c r="A53" s="41" t="s">
        <v>196</v>
      </c>
      <c r="B53" s="40"/>
      <c r="C53" s="40"/>
      <c r="D53" s="40"/>
      <c r="E53" s="65">
        <f>SUMPRODUCT(K49:M49,$K$50:$M$50)/1000</f>
        <v>1061.1101253950428</v>
      </c>
      <c r="F53" s="91"/>
      <c r="G53" s="91"/>
    </row>
    <row r="54" spans="1:13" s="1" customFormat="1" x14ac:dyDescent="0.25">
      <c r="A54" s="40" t="s">
        <v>60</v>
      </c>
      <c r="B54" s="40"/>
      <c r="C54" s="40"/>
      <c r="D54" s="40"/>
      <c r="E54" s="66">
        <f>E52/E53-1</f>
        <v>3.2843661262391244E-2</v>
      </c>
      <c r="F54" s="92"/>
      <c r="G54" s="92"/>
    </row>
    <row r="55" spans="1:13" x14ac:dyDescent="0.25">
      <c r="K55" s="1"/>
      <c r="L55" s="1"/>
      <c r="M55" s="1"/>
    </row>
    <row r="56" spans="1:13" s="1" customFormat="1" ht="18.75" x14ac:dyDescent="0.3">
      <c r="A56" s="42" t="s">
        <v>192</v>
      </c>
      <c r="B56" s="138"/>
      <c r="C56" s="138"/>
      <c r="D56" s="138"/>
      <c r="E56" s="138"/>
      <c r="F56" s="138"/>
      <c r="G56" s="138"/>
      <c r="H56" s="48">
        <v>40268</v>
      </c>
      <c r="I56" s="48">
        <f>EOMONTH(H56,12)</f>
        <v>40633</v>
      </c>
      <c r="J56" s="139">
        <v>40999</v>
      </c>
    </row>
    <row r="57" spans="1:13" s="1" customFormat="1" x14ac:dyDescent="0.25">
      <c r="A57" s="135" t="str">
        <f>'EDB Select'!A28</f>
        <v>Actual commissioned assets</v>
      </c>
      <c r="B57" s="135"/>
      <c r="C57" s="135"/>
      <c r="D57" s="135"/>
      <c r="E57" s="135"/>
      <c r="F57" s="135"/>
      <c r="G57" s="135"/>
      <c r="H57" s="47">
        <f>H18</f>
        <v>335613.36077573971</v>
      </c>
      <c r="I57" s="47">
        <f t="shared" ref="I57:J57" si="13">I18</f>
        <v>339981.29352765618</v>
      </c>
      <c r="J57" s="47">
        <f t="shared" si="13"/>
        <v>287149.37709793454</v>
      </c>
    </row>
    <row r="58" spans="1:13" s="1" customFormat="1" x14ac:dyDescent="0.25">
      <c r="A58" s="135" t="str">
        <f>'EDB Select'!A30</f>
        <v>Capital expenditure allowance (nominal)</v>
      </c>
      <c r="B58" s="135"/>
      <c r="C58" s="135"/>
      <c r="D58" s="135"/>
      <c r="E58" s="135"/>
      <c r="F58" s="135"/>
      <c r="G58" s="135"/>
      <c r="H58" s="47">
        <f t="shared" ref="H58:J58" si="14">H20</f>
        <v>340749.20034763333</v>
      </c>
      <c r="I58" s="47">
        <f t="shared" si="14"/>
        <v>385912.93668407504</v>
      </c>
      <c r="J58" s="47">
        <f t="shared" si="14"/>
        <v>410266.89962088579</v>
      </c>
    </row>
    <row r="59" spans="1:13" s="1" customFormat="1" x14ac:dyDescent="0.25">
      <c r="A59" s="41" t="s">
        <v>161</v>
      </c>
      <c r="B59" s="135"/>
      <c r="C59" s="135"/>
      <c r="D59" s="135"/>
      <c r="E59" s="135"/>
      <c r="F59" s="135"/>
      <c r="G59" s="135"/>
      <c r="H59" s="117">
        <f>1/(1+WACC)^((H56-$J$56)/365)</f>
        <v>1.183363806348622</v>
      </c>
      <c r="I59" s="117">
        <f>1/(1+WACC)^((I56-$J$56)/365)</f>
        <v>1.0879505436688628</v>
      </c>
      <c r="J59" s="117">
        <f>1/(1+WACC)^((J56-$J$56)/365)</f>
        <v>1</v>
      </c>
    </row>
    <row r="60" spans="1:13" s="1" customFormat="1" x14ac:dyDescent="0.25">
      <c r="A60" s="138"/>
      <c r="B60" s="138"/>
      <c r="C60" s="138"/>
      <c r="D60" s="138"/>
      <c r="E60" s="138"/>
      <c r="F60" s="138"/>
      <c r="G60" s="138"/>
      <c r="H60" s="138"/>
      <c r="I60" s="138"/>
      <c r="J60" s="138"/>
    </row>
    <row r="61" spans="1:13" s="1" customFormat="1" x14ac:dyDescent="0.25">
      <c r="A61" s="41" t="s">
        <v>197</v>
      </c>
      <c r="B61" s="135"/>
      <c r="C61" s="135"/>
      <c r="D61" s="135"/>
      <c r="E61" s="65">
        <f>SUMPRODUCT(H59:J59,$H$57:$J$57)/1000</f>
        <v>1054.1849142976241</v>
      </c>
      <c r="F61" s="91"/>
      <c r="G61" s="91"/>
      <c r="H61" s="138"/>
      <c r="I61" s="138"/>
      <c r="J61" s="138"/>
    </row>
    <row r="62" spans="1:13" s="1" customFormat="1" x14ac:dyDescent="0.25">
      <c r="A62" s="41" t="s">
        <v>198</v>
      </c>
      <c r="B62" s="135"/>
      <c r="C62" s="135"/>
      <c r="D62" s="135"/>
      <c r="E62" s="65">
        <f>SUMPRODUCT(H59:J59,$H$58:$J$58)/1000</f>
        <v>1233.3513596287974</v>
      </c>
      <c r="F62" s="91"/>
      <c r="G62" s="91"/>
      <c r="H62" s="138"/>
      <c r="I62" s="138"/>
      <c r="J62" s="138"/>
    </row>
    <row r="63" spans="1:13" s="1" customFormat="1" x14ac:dyDescent="0.25">
      <c r="A63" s="135" t="s">
        <v>60</v>
      </c>
      <c r="B63" s="135"/>
      <c r="C63" s="135"/>
      <c r="D63" s="135"/>
      <c r="E63" s="66">
        <f>E61/E62-1</f>
        <v>-0.14526796758475791</v>
      </c>
      <c r="F63" s="92"/>
      <c r="G63" s="92"/>
      <c r="H63" s="138"/>
      <c r="I63" s="138"/>
      <c r="J63" s="138"/>
    </row>
    <row r="64" spans="1:13" s="1" customFormat="1" x14ac:dyDescent="0.25"/>
    <row r="65" spans="1:13" s="1" customFormat="1" ht="18.75" x14ac:dyDescent="0.3">
      <c r="A65" s="42" t="s">
        <v>75</v>
      </c>
      <c r="E65" s="34" t="s">
        <v>44</v>
      </c>
      <c r="F65" s="34" t="s">
        <v>115</v>
      </c>
      <c r="G65" s="34" t="s">
        <v>114</v>
      </c>
      <c r="H65" s="34" t="s">
        <v>48</v>
      </c>
      <c r="I65" s="34" t="s">
        <v>49</v>
      </c>
      <c r="J65" s="34" t="s">
        <v>50</v>
      </c>
      <c r="K65" s="34" t="s">
        <v>51</v>
      </c>
      <c r="L65" s="34" t="s">
        <v>52</v>
      </c>
      <c r="M65" s="34" t="s">
        <v>53</v>
      </c>
    </row>
    <row r="66" spans="1:13" x14ac:dyDescent="0.25">
      <c r="A66" s="64" t="str">
        <f>'EDB Select'!A29</f>
        <v>Operating expenditure allowance (nominal)</v>
      </c>
      <c r="B66" s="64"/>
      <c r="C66" s="64"/>
      <c r="D66" s="64"/>
      <c r="E66" s="47"/>
      <c r="F66" s="47"/>
      <c r="G66" s="47"/>
      <c r="H66" s="47"/>
      <c r="I66" s="47">
        <f>I19</f>
        <v>320986.8632085959</v>
      </c>
      <c r="J66" s="47">
        <f t="shared" ref="J66:M66" si="15">J19</f>
        <v>333576.05460036272</v>
      </c>
      <c r="K66" s="47">
        <f t="shared" si="15"/>
        <v>343898.25386722846</v>
      </c>
      <c r="L66" s="47">
        <f t="shared" si="15"/>
        <v>354827.88185289805</v>
      </c>
      <c r="M66" s="47">
        <f t="shared" si="15"/>
        <v>366780.38565214392</v>
      </c>
    </row>
    <row r="67" spans="1:13" x14ac:dyDescent="0.25">
      <c r="A67" s="41" t="s">
        <v>117</v>
      </c>
      <c r="B67" s="64"/>
      <c r="C67" s="64"/>
      <c r="D67" s="64"/>
      <c r="E67" s="47"/>
      <c r="F67" s="47"/>
      <c r="G67" s="47"/>
      <c r="H67" s="47"/>
      <c r="I67" s="47">
        <f>I66/I26</f>
        <v>313074.45391131716</v>
      </c>
      <c r="J67" s="47">
        <f>J66/J26</f>
        <v>316655.95286350773</v>
      </c>
      <c r="K67" s="47">
        <f>K66/K26</f>
        <v>320327.59993594454</v>
      </c>
      <c r="L67" s="47">
        <f>L66/L26</f>
        <v>322997.40670038486</v>
      </c>
      <c r="M67" s="47">
        <f>M66/M26</f>
        <v>325554.29154160904</v>
      </c>
    </row>
    <row r="68" spans="1:13" x14ac:dyDescent="0.25">
      <c r="A68" s="41" t="s">
        <v>208</v>
      </c>
      <c r="B68" s="64"/>
      <c r="C68" s="64"/>
      <c r="D68" s="64"/>
      <c r="E68" s="47"/>
      <c r="F68" s="47"/>
      <c r="G68" s="47"/>
      <c r="H68" s="47"/>
      <c r="I68" s="47">
        <f>I67*$M$29</f>
        <v>341611.37853298342</v>
      </c>
      <c r="J68" s="47">
        <f t="shared" ref="J68:M68" si="16">J67*$M$29</f>
        <v>345519.33326703153</v>
      </c>
      <c r="K68" s="47">
        <f t="shared" si="16"/>
        <v>349525.6531766624</v>
      </c>
      <c r="L68" s="47">
        <f t="shared" si="16"/>
        <v>352438.81443214923</v>
      </c>
      <c r="M68" s="47">
        <f t="shared" si="16"/>
        <v>355228.76086325629</v>
      </c>
    </row>
    <row r="69" spans="1:13" x14ac:dyDescent="0.25">
      <c r="A69" s="41" t="s">
        <v>94</v>
      </c>
      <c r="B69" s="64"/>
      <c r="C69" s="64"/>
      <c r="D69" s="64"/>
      <c r="E69" s="47">
        <f>AVERAGE(K68:M68)</f>
        <v>352397.74282402266</v>
      </c>
      <c r="F69" s="93"/>
      <c r="G69" s="93"/>
    </row>
    <row r="70" spans="1:13" x14ac:dyDescent="0.25">
      <c r="A70" s="64" t="s">
        <v>77</v>
      </c>
      <c r="B70" s="64"/>
      <c r="C70" s="64"/>
      <c r="D70" s="64"/>
      <c r="E70" s="47"/>
      <c r="F70" s="47"/>
      <c r="G70" s="47"/>
      <c r="H70" s="47"/>
      <c r="I70" s="47">
        <f>I13</f>
        <v>287088.18100811593</v>
      </c>
      <c r="J70" s="47">
        <f>J13</f>
        <v>310721.17177715356</v>
      </c>
      <c r="K70" s="47">
        <f>K13</f>
        <v>323027.13125599857</v>
      </c>
      <c r="L70" s="47">
        <f>L13</f>
        <v>351243.90413086198</v>
      </c>
      <c r="M70" s="47">
        <f>M13</f>
        <v>351314.89655046159</v>
      </c>
    </row>
    <row r="71" spans="1:13" s="1" customFormat="1" x14ac:dyDescent="0.25">
      <c r="A71" s="64" t="s">
        <v>80</v>
      </c>
      <c r="B71" s="64"/>
      <c r="C71" s="64"/>
      <c r="D71" s="64"/>
      <c r="E71" s="43"/>
      <c r="F71" s="43"/>
      <c r="G71" s="43"/>
      <c r="H71" s="43"/>
      <c r="I71" s="43">
        <f>I28</f>
        <v>0.93991843715060985</v>
      </c>
      <c r="J71" s="43">
        <f t="shared" ref="J71:M71" si="17">J28</f>
        <v>0.96605738603643321</v>
      </c>
      <c r="K71" s="43">
        <f t="shared" si="17"/>
        <v>0.97842177012399256</v>
      </c>
      <c r="L71" s="43">
        <f t="shared" si="17"/>
        <v>0.99703432815911142</v>
      </c>
      <c r="M71" s="43">
        <f t="shared" si="17"/>
        <v>1</v>
      </c>
    </row>
    <row r="72" spans="1:13" x14ac:dyDescent="0.25">
      <c r="A72" s="64" t="s">
        <v>78</v>
      </c>
      <c r="B72" s="64"/>
      <c r="C72" s="64"/>
      <c r="D72" s="64"/>
      <c r="E72" s="47"/>
      <c r="F72" s="47"/>
      <c r="G72" s="47"/>
      <c r="H72" s="47"/>
      <c r="I72" s="47">
        <f>I70/I71</f>
        <v>305439.46119243297</v>
      </c>
      <c r="J72" s="47">
        <f t="shared" ref="J72:M72" si="18">J70/J71</f>
        <v>321638.42052074039</v>
      </c>
      <c r="K72" s="47">
        <f t="shared" si="18"/>
        <v>330151.20995832124</v>
      </c>
      <c r="L72" s="47">
        <f t="shared" si="18"/>
        <v>352288.67673933174</v>
      </c>
      <c r="M72" s="47">
        <f t="shared" si="18"/>
        <v>351314.89655046159</v>
      </c>
    </row>
    <row r="73" spans="1:13" s="1" customFormat="1" x14ac:dyDescent="0.25">
      <c r="A73" s="41" t="s">
        <v>95</v>
      </c>
      <c r="B73" s="64"/>
      <c r="C73" s="64"/>
      <c r="D73" s="64"/>
      <c r="E73" s="47">
        <f>AVERAGE(K72:M72)</f>
        <v>344584.92774937156</v>
      </c>
      <c r="F73" s="93"/>
      <c r="G73" s="93"/>
    </row>
    <row r="74" spans="1:13" x14ac:dyDescent="0.25">
      <c r="A74" s="64" t="s">
        <v>81</v>
      </c>
      <c r="B74" s="64"/>
      <c r="C74" s="64"/>
      <c r="D74" s="64"/>
      <c r="E74" s="114">
        <f>E73/E69</f>
        <v>0.97782955415082617</v>
      </c>
      <c r="F74" s="93"/>
      <c r="G74" s="93"/>
    </row>
    <row r="76" spans="1:13" s="1" customFormat="1" ht="18.75" x14ac:dyDescent="0.3">
      <c r="A76" s="42" t="s">
        <v>82</v>
      </c>
      <c r="E76" s="34" t="s">
        <v>44</v>
      </c>
      <c r="F76" s="34" t="s">
        <v>115</v>
      </c>
      <c r="G76" s="34" t="s">
        <v>114</v>
      </c>
      <c r="H76" s="34" t="s">
        <v>48</v>
      </c>
      <c r="I76" s="34" t="s">
        <v>49</v>
      </c>
      <c r="J76" s="34" t="s">
        <v>50</v>
      </c>
      <c r="K76" s="34" t="s">
        <v>51</v>
      </c>
      <c r="L76" s="34" t="s">
        <v>52</v>
      </c>
      <c r="M76" s="34" t="s">
        <v>53</v>
      </c>
    </row>
    <row r="77" spans="1:13" s="1" customFormat="1" x14ac:dyDescent="0.25">
      <c r="A77" s="64" t="str">
        <f>'EDB Select'!A30</f>
        <v>Capital expenditure allowance (nominal)</v>
      </c>
      <c r="B77" s="64"/>
      <c r="C77" s="64"/>
      <c r="D77" s="64"/>
      <c r="E77" s="47"/>
      <c r="F77" s="47"/>
      <c r="G77" s="47"/>
      <c r="H77" s="47"/>
      <c r="I77" s="47">
        <f>I20</f>
        <v>385912.93668407504</v>
      </c>
      <c r="J77" s="47">
        <f t="shared" ref="J77:M77" si="19">J20</f>
        <v>410266.89962088579</v>
      </c>
      <c r="K77" s="47">
        <f t="shared" si="19"/>
        <v>416162.13727163232</v>
      </c>
      <c r="L77" s="47">
        <f t="shared" si="19"/>
        <v>428243.4129728913</v>
      </c>
      <c r="M77" s="47">
        <f t="shared" si="19"/>
        <v>407329.70286063058</v>
      </c>
    </row>
    <row r="78" spans="1:13" s="1" customFormat="1" x14ac:dyDescent="0.25">
      <c r="A78" s="41" t="s">
        <v>118</v>
      </c>
      <c r="B78" s="64"/>
      <c r="C78" s="64"/>
      <c r="D78" s="64"/>
      <c r="E78" s="47"/>
      <c r="F78" s="47"/>
      <c r="G78" s="47"/>
      <c r="H78" s="47"/>
      <c r="I78" s="47">
        <f>I77/I32</f>
        <v>386723.8330171266</v>
      </c>
      <c r="J78" s="47">
        <f>J77/J32</f>
        <v>408708.72681564122</v>
      </c>
      <c r="K78" s="47">
        <f>K77/K32</f>
        <v>409692.87327820098</v>
      </c>
      <c r="L78" s="47">
        <f>L77/L32</f>
        <v>414973.87359788764</v>
      </c>
      <c r="M78" s="47">
        <f>M77/M32</f>
        <v>386698.36712860479</v>
      </c>
    </row>
    <row r="79" spans="1:13" s="1" customFormat="1" x14ac:dyDescent="0.25">
      <c r="A79" s="41" t="s">
        <v>209</v>
      </c>
      <c r="B79" s="64"/>
      <c r="C79" s="64"/>
      <c r="D79" s="64"/>
      <c r="E79" s="47"/>
      <c r="F79" s="47"/>
      <c r="G79" s="47"/>
      <c r="H79" s="47"/>
      <c r="I79" s="47">
        <f>I78*$M$32</f>
        <v>407356.52741870069</v>
      </c>
      <c r="J79" s="47">
        <f>J78*$M$32</f>
        <v>430514.37089465535</v>
      </c>
      <c r="K79" s="47">
        <f>K78*$M$32</f>
        <v>431551.02405960776</v>
      </c>
      <c r="L79" s="47">
        <f>L78*$M$32</f>
        <v>437113.77910043648</v>
      </c>
      <c r="M79" s="47">
        <f>M78*$M$32</f>
        <v>407329.70286063058</v>
      </c>
    </row>
    <row r="80" spans="1:13" s="1" customFormat="1" x14ac:dyDescent="0.25">
      <c r="A80" s="41" t="s">
        <v>97</v>
      </c>
      <c r="B80" s="64"/>
      <c r="C80" s="64"/>
      <c r="D80" s="64"/>
      <c r="E80" s="47">
        <f>AVERAGE(K79:M79)</f>
        <v>425331.50200689165</v>
      </c>
      <c r="F80" s="93"/>
      <c r="G80" s="93"/>
    </row>
    <row r="81" spans="1:13" s="1" customFormat="1" x14ac:dyDescent="0.25">
      <c r="A81" s="41" t="s">
        <v>83</v>
      </c>
      <c r="B81" s="64"/>
      <c r="C81" s="64"/>
      <c r="D81" s="64"/>
      <c r="E81" s="47"/>
      <c r="F81" s="47"/>
      <c r="G81" s="47"/>
      <c r="H81" s="47"/>
      <c r="I81" s="47">
        <f>I17</f>
        <v>407375.52759999997</v>
      </c>
      <c r="J81" s="47">
        <f>J17</f>
        <v>389194.23259999999</v>
      </c>
      <c r="K81" s="47">
        <f>K17</f>
        <v>455532.75270000001</v>
      </c>
      <c r="L81" s="47">
        <f>L17</f>
        <v>491473.96050000004</v>
      </c>
      <c r="M81" s="47">
        <f>M17</f>
        <v>526086.62300000002</v>
      </c>
    </row>
    <row r="82" spans="1:13" s="1" customFormat="1" x14ac:dyDescent="0.25">
      <c r="A82" s="41" t="s">
        <v>84</v>
      </c>
      <c r="B82" s="64"/>
      <c r="C82" s="64"/>
      <c r="D82" s="64"/>
      <c r="E82" s="43"/>
      <c r="F82" s="43"/>
      <c r="G82" s="43"/>
      <c r="H82" s="43"/>
      <c r="I82" s="43">
        <f>I35/$M$35</f>
        <v>0.94751131221719465</v>
      </c>
      <c r="J82" s="43">
        <f>J35/$M$35</f>
        <v>0.95312217194570148</v>
      </c>
      <c r="K82" s="43">
        <f>K35/$M$35</f>
        <v>0.9627149321266969</v>
      </c>
      <c r="L82" s="43">
        <f>L35/$M$35</f>
        <v>0.97520361990950222</v>
      </c>
      <c r="M82" s="43">
        <f>M35/$M$35</f>
        <v>1</v>
      </c>
    </row>
    <row r="83" spans="1:13" s="1" customFormat="1" x14ac:dyDescent="0.25">
      <c r="A83" s="41" t="s">
        <v>85</v>
      </c>
      <c r="B83" s="64"/>
      <c r="C83" s="64"/>
      <c r="D83" s="64"/>
      <c r="E83" s="47"/>
      <c r="F83" s="47"/>
      <c r="G83" s="47"/>
      <c r="H83" s="47"/>
      <c r="I83" s="47">
        <f>I81/I82</f>
        <v>429942.65329321864</v>
      </c>
      <c r="J83" s="47">
        <f t="shared" ref="J83" si="20">J81/J82</f>
        <v>408336.14415400679</v>
      </c>
      <c r="K83" s="47">
        <f t="shared" ref="K83" si="21">K81/K82</f>
        <v>473175.1191328257</v>
      </c>
      <c r="L83" s="47">
        <f t="shared" ref="L83" si="22">L81/L82</f>
        <v>503970.60723134753</v>
      </c>
      <c r="M83" s="47">
        <f t="shared" ref="M83" si="23">M81/M82</f>
        <v>526086.62300000002</v>
      </c>
    </row>
    <row r="84" spans="1:13" s="1" customFormat="1" x14ac:dyDescent="0.25">
      <c r="A84" s="41" t="s">
        <v>96</v>
      </c>
      <c r="B84" s="64"/>
      <c r="C84" s="64"/>
      <c r="D84" s="64"/>
      <c r="E84" s="47">
        <f>AVERAGE(K83:M83)</f>
        <v>501077.44978805771</v>
      </c>
      <c r="F84" s="93"/>
      <c r="G84" s="93"/>
    </row>
    <row r="85" spans="1:13" s="1" customFormat="1" x14ac:dyDescent="0.25">
      <c r="A85" s="41" t="s">
        <v>86</v>
      </c>
      <c r="B85" s="64"/>
      <c r="C85" s="64"/>
      <c r="D85" s="64"/>
      <c r="E85" s="114">
        <f>E84/E80</f>
        <v>1.1780868509004507</v>
      </c>
      <c r="F85" s="93"/>
      <c r="G85" s="93"/>
    </row>
    <row r="87" spans="1:13" s="1" customFormat="1" ht="18.75" x14ac:dyDescent="0.3">
      <c r="A87" s="42" t="s">
        <v>87</v>
      </c>
      <c r="E87" s="34" t="s">
        <v>44</v>
      </c>
      <c r="F87" s="34" t="s">
        <v>115</v>
      </c>
      <c r="G87" s="34" t="s">
        <v>114</v>
      </c>
      <c r="H87" s="34" t="s">
        <v>48</v>
      </c>
      <c r="I87" s="34" t="s">
        <v>49</v>
      </c>
      <c r="J87" s="34" t="s">
        <v>50</v>
      </c>
      <c r="K87" s="34" t="s">
        <v>51</v>
      </c>
      <c r="L87" s="34" t="s">
        <v>52</v>
      </c>
      <c r="M87" s="34" t="s">
        <v>53</v>
      </c>
    </row>
    <row r="88" spans="1:13" s="1" customFormat="1" x14ac:dyDescent="0.25">
      <c r="A88" s="41" t="s">
        <v>210</v>
      </c>
      <c r="B88" s="64"/>
      <c r="C88" s="64"/>
      <c r="D88" s="64"/>
      <c r="E88" s="47"/>
      <c r="F88" s="47"/>
      <c r="G88" s="47"/>
      <c r="H88" s="47"/>
      <c r="I88" s="47">
        <f>I68+I79</f>
        <v>748967.90595168411</v>
      </c>
      <c r="J88" s="47">
        <f t="shared" ref="J88:M88" si="24">J68+J79</f>
        <v>776033.70416168682</v>
      </c>
      <c r="K88" s="47">
        <f t="shared" si="24"/>
        <v>781076.67723627016</v>
      </c>
      <c r="L88" s="47">
        <f t="shared" si="24"/>
        <v>789552.59353258577</v>
      </c>
      <c r="M88" s="47">
        <f t="shared" si="24"/>
        <v>762558.46372388687</v>
      </c>
    </row>
    <row r="89" spans="1:13" s="1" customFormat="1" x14ac:dyDescent="0.25">
      <c r="A89" s="41" t="s">
        <v>98</v>
      </c>
      <c r="B89" s="64"/>
      <c r="C89" s="64"/>
      <c r="D89" s="64"/>
      <c r="E89" s="47">
        <f>AVERAGE(K88:M88)</f>
        <v>777729.24483091431</v>
      </c>
      <c r="F89" s="93"/>
      <c r="G89" s="93"/>
    </row>
    <row r="90" spans="1:13" s="1" customFormat="1" x14ac:dyDescent="0.25">
      <c r="A90" s="41" t="s">
        <v>88</v>
      </c>
      <c r="B90" s="64"/>
      <c r="C90" s="64"/>
      <c r="D90" s="64"/>
      <c r="E90" s="47"/>
      <c r="F90" s="47"/>
      <c r="G90" s="47"/>
      <c r="H90" s="47"/>
      <c r="I90" s="47">
        <f>I72+I83</f>
        <v>735382.1144856516</v>
      </c>
      <c r="J90" s="47">
        <f t="shared" ref="J90:M90" si="25">J72+J83</f>
        <v>729974.56467474718</v>
      </c>
      <c r="K90" s="47">
        <f t="shared" si="25"/>
        <v>803326.32909114694</v>
      </c>
      <c r="L90" s="47">
        <f t="shared" si="25"/>
        <v>856259.28397067927</v>
      </c>
      <c r="M90" s="47">
        <f t="shared" si="25"/>
        <v>877401.51955046155</v>
      </c>
    </row>
    <row r="91" spans="1:13" s="1" customFormat="1" x14ac:dyDescent="0.25">
      <c r="A91" s="41" t="s">
        <v>96</v>
      </c>
      <c r="B91" s="64"/>
      <c r="C91" s="64"/>
      <c r="D91" s="64"/>
      <c r="E91" s="47">
        <f>AVERAGE(K90:M90)</f>
        <v>845662.37753742933</v>
      </c>
      <c r="F91" s="93"/>
      <c r="G91" s="93"/>
    </row>
    <row r="92" spans="1:13" s="1" customFormat="1" x14ac:dyDescent="0.25">
      <c r="A92" s="41" t="s">
        <v>89</v>
      </c>
      <c r="B92" s="64"/>
      <c r="C92" s="64"/>
      <c r="D92" s="64"/>
      <c r="E92" s="114">
        <f>E91/E89</f>
        <v>1.0873480496689878</v>
      </c>
      <c r="F92" s="93"/>
      <c r="G92" s="93"/>
    </row>
    <row r="94" spans="1:13" ht="23.25" x14ac:dyDescent="0.35">
      <c r="A94" s="101" t="s">
        <v>146</v>
      </c>
    </row>
    <row r="95" spans="1:13" s="1" customFormat="1" ht="18.75" x14ac:dyDescent="0.3">
      <c r="A95" s="42" t="s">
        <v>142</v>
      </c>
      <c r="E95" s="34" t="s">
        <v>44</v>
      </c>
      <c r="F95" s="34" t="s">
        <v>115</v>
      </c>
      <c r="G95" s="34" t="s">
        <v>114</v>
      </c>
      <c r="H95" s="34" t="s">
        <v>48</v>
      </c>
      <c r="I95" s="34" t="s">
        <v>49</v>
      </c>
      <c r="J95" s="34" t="s">
        <v>50</v>
      </c>
      <c r="K95" s="34" t="s">
        <v>51</v>
      </c>
      <c r="L95" s="34" t="s">
        <v>52</v>
      </c>
      <c r="M95" s="34" t="s">
        <v>53</v>
      </c>
    </row>
    <row r="96" spans="1:13" x14ac:dyDescent="0.25">
      <c r="A96" s="41" t="s">
        <v>147</v>
      </c>
      <c r="B96" s="77"/>
      <c r="C96" s="77"/>
      <c r="D96" s="77"/>
      <c r="E96" s="77"/>
      <c r="F96" s="102">
        <f>F14</f>
        <v>269434.30589999998</v>
      </c>
      <c r="G96" s="102">
        <f>G14+G16</f>
        <v>277430.34329999995</v>
      </c>
      <c r="H96" s="102">
        <f>H14+H16</f>
        <v>293640.59589999996</v>
      </c>
      <c r="I96" s="102">
        <f>I14+I16</f>
        <v>303300.13769999996</v>
      </c>
      <c r="J96" s="102">
        <f>J14+J16</f>
        <v>328606.61609999998</v>
      </c>
      <c r="K96" s="102"/>
      <c r="L96" s="102"/>
      <c r="M96" s="102"/>
    </row>
    <row r="97" spans="1:13" s="1" customFormat="1" x14ac:dyDescent="0.25">
      <c r="A97" s="41" t="s">
        <v>148</v>
      </c>
      <c r="B97" s="77"/>
      <c r="C97" s="77"/>
      <c r="D97" s="77"/>
      <c r="E97" s="77"/>
      <c r="F97" s="102"/>
      <c r="G97" s="102"/>
      <c r="H97" s="102"/>
      <c r="I97" s="102"/>
      <c r="J97" s="102"/>
      <c r="K97" s="102">
        <f>K13+K16</f>
        <v>341833.67319599859</v>
      </c>
      <c r="L97" s="102">
        <f>L13+L16</f>
        <v>371505.523850862</v>
      </c>
      <c r="M97" s="102">
        <f>M13+M16</f>
        <v>375151.48912046157</v>
      </c>
    </row>
    <row r="98" spans="1:13" s="1" customFormat="1" x14ac:dyDescent="0.25">
      <c r="A98" s="41" t="s">
        <v>134</v>
      </c>
      <c r="B98" s="77"/>
      <c r="C98" s="77"/>
      <c r="D98" s="77"/>
      <c r="E98" s="77"/>
      <c r="F98" s="102">
        <f>F96+F97</f>
        <v>269434.30589999998</v>
      </c>
      <c r="G98" s="102">
        <f t="shared" ref="G98:M98" si="26">G96+G97</f>
        <v>277430.34329999995</v>
      </c>
      <c r="H98" s="102">
        <f t="shared" si="26"/>
        <v>293640.59589999996</v>
      </c>
      <c r="I98" s="102">
        <f t="shared" si="26"/>
        <v>303300.13769999996</v>
      </c>
      <c r="J98" s="102">
        <f t="shared" si="26"/>
        <v>328606.61609999998</v>
      </c>
      <c r="K98" s="102">
        <f t="shared" si="26"/>
        <v>341833.67319599859</v>
      </c>
      <c r="L98" s="102">
        <f t="shared" si="26"/>
        <v>371505.523850862</v>
      </c>
      <c r="M98" s="102">
        <f t="shared" si="26"/>
        <v>375151.48912046157</v>
      </c>
    </row>
    <row r="99" spans="1:13" x14ac:dyDescent="0.25">
      <c r="A99" s="77" t="s">
        <v>137</v>
      </c>
      <c r="B99" s="77"/>
      <c r="C99" s="77"/>
      <c r="D99" s="77"/>
      <c r="E99" s="77"/>
      <c r="F99" s="102">
        <f t="shared" ref="F99:M99" si="27">F17</f>
        <v>345153.47243999998</v>
      </c>
      <c r="G99" s="102">
        <f t="shared" si="27"/>
        <v>388875.02780000004</v>
      </c>
      <c r="H99" s="102">
        <f t="shared" si="27"/>
        <v>362823.99549999996</v>
      </c>
      <c r="I99" s="102">
        <f t="shared" si="27"/>
        <v>407375.52759999997</v>
      </c>
      <c r="J99" s="102">
        <f t="shared" si="27"/>
        <v>389194.23259999999</v>
      </c>
      <c r="K99" s="102">
        <f t="shared" si="27"/>
        <v>455532.75270000001</v>
      </c>
      <c r="L99" s="102">
        <f t="shared" si="27"/>
        <v>491473.96050000004</v>
      </c>
      <c r="M99" s="102">
        <f t="shared" si="27"/>
        <v>526086.62300000002</v>
      </c>
    </row>
    <row r="100" spans="1:13" ht="18.75" x14ac:dyDescent="0.3">
      <c r="A100" s="31" t="s">
        <v>143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</row>
    <row r="101" spans="1:13" x14ac:dyDescent="0.25">
      <c r="A101" s="41" t="s">
        <v>134</v>
      </c>
      <c r="B101" s="77"/>
      <c r="C101" s="77"/>
      <c r="D101" s="77"/>
      <c r="E101" s="77"/>
      <c r="F101" s="102">
        <f t="shared" ref="F101:G101" si="28">F98/F28</f>
        <v>312694.78932525782</v>
      </c>
      <c r="G101" s="102">
        <f t="shared" si="28"/>
        <v>303329.16831205552</v>
      </c>
      <c r="H101" s="102">
        <f t="shared" ref="H101:M101" si="29">H98/H28</f>
        <v>320406.11268481275</v>
      </c>
      <c r="I101" s="102">
        <f t="shared" si="29"/>
        <v>322687.72024460247</v>
      </c>
      <c r="J101" s="102">
        <f t="shared" si="29"/>
        <v>340152.27340501605</v>
      </c>
      <c r="K101" s="102">
        <f t="shared" si="29"/>
        <v>349372.51360696828</v>
      </c>
      <c r="L101" s="102">
        <f t="shared" si="29"/>
        <v>372610.56450964586</v>
      </c>
      <c r="M101" s="102">
        <f t="shared" si="29"/>
        <v>375151.48912046157</v>
      </c>
    </row>
    <row r="102" spans="1:13" s="1" customFormat="1" x14ac:dyDescent="0.25">
      <c r="A102" s="41" t="s">
        <v>155</v>
      </c>
      <c r="B102" s="77"/>
      <c r="C102" s="77"/>
      <c r="D102" s="77"/>
      <c r="E102" s="102">
        <f>IF(OR('EDB Select'!$C$5=28,'EDB Select'!$C$5=25),AVERAGE(H101),AVERAGE(F101:H101))</f>
        <v>312143.35677404201</v>
      </c>
      <c r="F102" s="103"/>
      <c r="G102" s="103"/>
      <c r="H102" s="103"/>
      <c r="I102" s="103"/>
      <c r="J102" s="103"/>
      <c r="K102" s="103"/>
      <c r="L102" s="103"/>
      <c r="M102" s="103"/>
    </row>
    <row r="103" spans="1:13" s="1" customFormat="1" x14ac:dyDescent="0.25">
      <c r="A103" s="41" t="s">
        <v>154</v>
      </c>
      <c r="B103" s="77"/>
      <c r="C103" s="77"/>
      <c r="D103" s="77"/>
      <c r="E103" s="102">
        <f>IF(OR('EDB Select'!$C$5=28,'EDB Select'!$C$5=25),AVERAGE(H101:J101),IF('EDB Select'!$C$5=17,AVERAGE(F101:H101,J101),AVERAGE(F101:J101)))</f>
        <v>319854.01279434888</v>
      </c>
      <c r="F103" s="103"/>
      <c r="G103" s="103"/>
      <c r="H103" s="103"/>
      <c r="I103" s="103"/>
      <c r="J103" s="103"/>
      <c r="K103" s="103"/>
      <c r="L103" s="103"/>
      <c r="M103" s="103"/>
    </row>
    <row r="104" spans="1:13" s="1" customFormat="1" x14ac:dyDescent="0.25">
      <c r="A104" s="41" t="s">
        <v>156</v>
      </c>
      <c r="B104" s="77"/>
      <c r="C104" s="77"/>
      <c r="D104" s="77"/>
      <c r="E104" s="102">
        <f>IF('EDB Select'!$C$5=17,AVERAGE(J101:M101),AVERAGE(I101:M101))</f>
        <v>351994.91217733885</v>
      </c>
      <c r="F104" s="103"/>
      <c r="G104" s="103"/>
      <c r="H104" s="103"/>
      <c r="I104" s="103"/>
      <c r="J104" s="103"/>
      <c r="K104" s="103"/>
      <c r="L104" s="103"/>
      <c r="M104" s="103"/>
    </row>
    <row r="105" spans="1:13" s="1" customFormat="1" x14ac:dyDescent="0.25">
      <c r="A105" s="41" t="s">
        <v>157</v>
      </c>
      <c r="B105" s="77"/>
      <c r="C105" s="77"/>
      <c r="D105" s="77"/>
      <c r="E105" s="102">
        <f>AVERAGE(K101:M101)</f>
        <v>365711.52241235855</v>
      </c>
      <c r="F105" s="103"/>
      <c r="G105" s="103"/>
      <c r="H105" s="103"/>
      <c r="I105" s="103"/>
      <c r="J105" s="103"/>
      <c r="K105" s="103"/>
      <c r="L105" s="103"/>
      <c r="M105" s="103"/>
    </row>
    <row r="106" spans="1:13" x14ac:dyDescent="0.25">
      <c r="A106" s="77" t="s">
        <v>137</v>
      </c>
      <c r="B106" s="77"/>
      <c r="C106" s="77"/>
      <c r="D106" s="77"/>
      <c r="E106" s="77"/>
      <c r="F106" s="102">
        <f t="shared" ref="F106:M106" si="30">F99/F12</f>
        <v>384392.85128623259</v>
      </c>
      <c r="G106" s="102">
        <f t="shared" si="30"/>
        <v>416544.1117865452</v>
      </c>
      <c r="H106" s="102">
        <f t="shared" si="30"/>
        <v>382120.20113181468</v>
      </c>
      <c r="I106" s="102">
        <f t="shared" si="30"/>
        <v>429942.6532932187</v>
      </c>
      <c r="J106" s="102">
        <f t="shared" si="30"/>
        <v>408336.14415400685</v>
      </c>
      <c r="K106" s="102">
        <f t="shared" si="30"/>
        <v>473175.11913282576</v>
      </c>
      <c r="L106" s="102">
        <f t="shared" si="30"/>
        <v>503970.60723134753</v>
      </c>
      <c r="M106" s="102">
        <f t="shared" si="30"/>
        <v>526086.62300000002</v>
      </c>
    </row>
    <row r="107" spans="1:13" s="1" customFormat="1" x14ac:dyDescent="0.25">
      <c r="A107" s="41" t="s">
        <v>155</v>
      </c>
      <c r="B107" s="77"/>
      <c r="C107" s="77"/>
      <c r="D107" s="77"/>
      <c r="E107" s="102">
        <f>IF(OR('EDB Select'!$C$5=28,'EDB Select'!$C$5=25),AVERAGE(H106),AVERAGE(F106:H106))</f>
        <v>394352.38806819747</v>
      </c>
      <c r="F107" s="103"/>
      <c r="G107" s="103"/>
      <c r="H107" s="103"/>
      <c r="I107" s="103"/>
      <c r="J107" s="103"/>
      <c r="K107" s="103"/>
      <c r="L107" s="103"/>
      <c r="M107" s="103"/>
    </row>
    <row r="108" spans="1:13" s="1" customFormat="1" x14ac:dyDescent="0.25">
      <c r="A108" s="41" t="s">
        <v>154</v>
      </c>
      <c r="B108" s="77"/>
      <c r="C108" s="77"/>
      <c r="D108" s="77"/>
      <c r="E108" s="102">
        <f>IF(OR('EDB Select'!$C$5=28,'EDB Select'!$C$5=25),AVERAGE(H106:J106),IF('EDB Select'!$C$5=17,AVERAGE(F106:H106,J106),AVERAGE(F106:J106)))</f>
        <v>404267.19233036356</v>
      </c>
      <c r="F108" s="103"/>
      <c r="G108" s="103"/>
      <c r="H108" s="103"/>
      <c r="I108" s="103"/>
      <c r="J108" s="103"/>
      <c r="K108" s="103"/>
      <c r="L108" s="103"/>
      <c r="M108" s="103"/>
    </row>
    <row r="109" spans="1:13" s="1" customFormat="1" x14ac:dyDescent="0.25">
      <c r="A109" s="41" t="s">
        <v>156</v>
      </c>
      <c r="B109" s="77"/>
      <c r="C109" s="77"/>
      <c r="D109" s="77"/>
      <c r="E109" s="102">
        <f>IF('EDB Select'!$C$5=17,AVERAGE(J106:M106),AVERAGE(I106:M106))</f>
        <v>468302.22936227976</v>
      </c>
      <c r="F109" s="103"/>
      <c r="G109" s="103"/>
      <c r="H109" s="103"/>
      <c r="I109" s="103"/>
      <c r="J109" s="103"/>
      <c r="K109" s="103"/>
      <c r="L109" s="103"/>
      <c r="M109" s="103"/>
    </row>
    <row r="110" spans="1:13" s="1" customFormat="1" x14ac:dyDescent="0.25">
      <c r="A110" s="41" t="s">
        <v>157</v>
      </c>
      <c r="B110" s="77"/>
      <c r="C110" s="77"/>
      <c r="D110" s="77"/>
      <c r="E110" s="102">
        <f>AVERAGE(K106:M106)</f>
        <v>501077.44978805771</v>
      </c>
      <c r="F110" s="103"/>
      <c r="G110" s="103"/>
      <c r="H110" s="103"/>
      <c r="I110" s="103"/>
      <c r="J110" s="103"/>
      <c r="K110" s="103"/>
      <c r="L110" s="103"/>
      <c r="M110" s="103"/>
    </row>
    <row r="111" spans="1:13" x14ac:dyDescent="0.25">
      <c r="A111" s="77" t="s">
        <v>144</v>
      </c>
      <c r="B111" s="77"/>
      <c r="C111" s="77"/>
      <c r="D111" s="77"/>
      <c r="E111" s="77"/>
      <c r="F111" s="102">
        <f t="shared" ref="F111" si="31">SUM(F101:F106)</f>
        <v>697087.64061149047</v>
      </c>
      <c r="G111" s="102">
        <f t="shared" ref="G111" si="32">SUM(G101:G106)</f>
        <v>719873.28009860078</v>
      </c>
      <c r="H111" s="102">
        <f t="shared" ref="H111:M111" si="33">SUM(H101:H106)</f>
        <v>702526.31381662749</v>
      </c>
      <c r="I111" s="102">
        <f t="shared" si="33"/>
        <v>752630.37353782123</v>
      </c>
      <c r="J111" s="102">
        <f t="shared" si="33"/>
        <v>748488.4175590229</v>
      </c>
      <c r="K111" s="102">
        <f t="shared" si="33"/>
        <v>822547.63273979397</v>
      </c>
      <c r="L111" s="102">
        <f t="shared" si="33"/>
        <v>876581.17174099339</v>
      </c>
      <c r="M111" s="102">
        <f t="shared" si="33"/>
        <v>901238.11212046165</v>
      </c>
    </row>
    <row r="112" spans="1:13" s="1" customFormat="1" x14ac:dyDescent="0.25">
      <c r="A112" s="41" t="s">
        <v>155</v>
      </c>
      <c r="B112" s="77"/>
      <c r="C112" s="77"/>
      <c r="D112" s="77"/>
      <c r="E112" s="102">
        <f>IF(OR('EDB Select'!$C$5=28,'EDB Select'!$C$5=25),AVERAGE(H111),AVERAGE(F111:H111))</f>
        <v>706495.74484223966</v>
      </c>
      <c r="F112" s="103"/>
      <c r="G112" s="103"/>
      <c r="H112" s="103"/>
      <c r="I112" s="103"/>
      <c r="J112" s="103"/>
      <c r="K112" s="103"/>
      <c r="L112" s="103"/>
      <c r="M112" s="103"/>
    </row>
    <row r="113" spans="1:13" s="1" customFormat="1" x14ac:dyDescent="0.25">
      <c r="A113" s="41" t="s">
        <v>154</v>
      </c>
      <c r="B113" s="77"/>
      <c r="C113" s="77"/>
      <c r="D113" s="77"/>
      <c r="E113" s="102">
        <f>IF(OR('EDB Select'!$C$5=28,'EDB Select'!$C$5=25),AVERAGE(H111:J111),IF('EDB Select'!$C$5=17,AVERAGE(F111:H111,J111),AVERAGE(F111:J111)))</f>
        <v>724121.20512471267</v>
      </c>
      <c r="F113" s="103"/>
      <c r="G113" s="103"/>
      <c r="H113" s="103"/>
      <c r="I113" s="103"/>
      <c r="J113" s="103"/>
      <c r="K113" s="103"/>
      <c r="L113" s="103"/>
      <c r="M113" s="103"/>
    </row>
    <row r="114" spans="1:13" s="1" customFormat="1" x14ac:dyDescent="0.25">
      <c r="A114" s="41" t="s">
        <v>156</v>
      </c>
      <c r="B114" s="77"/>
      <c r="C114" s="77"/>
      <c r="D114" s="77"/>
      <c r="E114" s="102">
        <f>IF('EDB Select'!$C$5=17,AVERAGE(J111:M111),AVERAGE(I111:M111))</f>
        <v>820297.14153961861</v>
      </c>
      <c r="F114" s="103"/>
      <c r="G114" s="103"/>
      <c r="H114" s="103"/>
      <c r="I114" s="103"/>
      <c r="J114" s="103"/>
      <c r="K114" s="103"/>
      <c r="L114" s="103"/>
      <c r="M114" s="103"/>
    </row>
    <row r="115" spans="1:13" s="1" customFormat="1" x14ac:dyDescent="0.25">
      <c r="A115" s="41" t="s">
        <v>157</v>
      </c>
      <c r="B115" s="77"/>
      <c r="C115" s="77"/>
      <c r="D115" s="77"/>
      <c r="E115" s="102">
        <f>AVERAGE(K111:M111)</f>
        <v>866788.97220041638</v>
      </c>
      <c r="F115" s="103"/>
      <c r="G115" s="103"/>
      <c r="H115" s="103"/>
      <c r="I115" s="103"/>
      <c r="J115" s="103"/>
      <c r="K115" s="103"/>
      <c r="L115" s="103"/>
      <c r="M115" s="103"/>
    </row>
    <row r="116" spans="1:13" s="1" customFormat="1" x14ac:dyDescent="0.25">
      <c r="A116" s="41"/>
      <c r="B116" s="77"/>
      <c r="C116" s="77"/>
      <c r="D116" s="77"/>
      <c r="E116" s="102"/>
      <c r="F116" s="103"/>
      <c r="G116" s="103"/>
      <c r="H116" s="103"/>
      <c r="I116" s="103"/>
      <c r="J116" s="103"/>
      <c r="K116" s="103"/>
      <c r="L116" s="103"/>
      <c r="M116" s="103"/>
    </row>
    <row r="117" spans="1:13" ht="27" x14ac:dyDescent="0.3">
      <c r="A117" s="31" t="s">
        <v>145</v>
      </c>
      <c r="B117" s="77"/>
      <c r="C117" s="77"/>
      <c r="D117" s="34" t="s">
        <v>149</v>
      </c>
      <c r="E117" s="34" t="s">
        <v>150</v>
      </c>
      <c r="I117" s="1"/>
      <c r="J117" s="1"/>
      <c r="K117" s="1"/>
      <c r="L117" s="1"/>
      <c r="M117" s="1"/>
    </row>
    <row r="118" spans="1:13" x14ac:dyDescent="0.25">
      <c r="A118" s="41" t="s">
        <v>134</v>
      </c>
      <c r="B118" s="77"/>
      <c r="C118" s="77"/>
      <c r="D118" s="104">
        <f>E105/E103-1</f>
        <v>0.14337012444328434</v>
      </c>
      <c r="E118" s="104">
        <f>E104/E102-1</f>
        <v>0.1276706825195868</v>
      </c>
      <c r="I118" s="1"/>
      <c r="J118" s="1"/>
      <c r="K118" s="1"/>
      <c r="L118" s="1"/>
      <c r="M118" s="1"/>
    </row>
    <row r="119" spans="1:13" x14ac:dyDescent="0.25">
      <c r="A119" s="77" t="s">
        <v>137</v>
      </c>
      <c r="B119" s="77"/>
      <c r="C119" s="77"/>
      <c r="D119" s="104">
        <f>E110/E108-1</f>
        <v>0.23947097190756383</v>
      </c>
      <c r="E119" s="104">
        <f>E109/E107-1</f>
        <v>0.18752223526865963</v>
      </c>
      <c r="I119" s="1"/>
      <c r="J119" s="1"/>
      <c r="K119" s="1"/>
      <c r="L119" s="1"/>
      <c r="M119" s="1"/>
    </row>
    <row r="120" spans="1:13" x14ac:dyDescent="0.25">
      <c r="A120" s="77" t="s">
        <v>144</v>
      </c>
      <c r="B120" s="77"/>
      <c r="C120" s="77"/>
      <c r="D120" s="104">
        <f>E115/E113-1</f>
        <v>0.19702194337912338</v>
      </c>
      <c r="E120" s="104">
        <f>E114/E112-1</f>
        <v>0.16107867248767471</v>
      </c>
      <c r="I120" s="1"/>
      <c r="J120" s="1"/>
      <c r="K120" s="1"/>
      <c r="L120" s="1"/>
      <c r="M120" s="1"/>
    </row>
    <row r="121" spans="1:13" x14ac:dyDescent="0.25">
      <c r="I121" s="1"/>
      <c r="J121" s="1"/>
      <c r="K121" s="1"/>
      <c r="L121" s="1"/>
      <c r="M121" s="1"/>
    </row>
    <row r="122" spans="1:13" x14ac:dyDescent="0.25">
      <c r="I122" s="1"/>
      <c r="J122" s="1"/>
      <c r="K122" s="1"/>
      <c r="L122" s="1"/>
      <c r="M122" s="1"/>
    </row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Footer>&amp;L&amp;F&amp;C&amp;A&amp;R&amp;P</oddFooter>
  </headerFooter>
  <rowBreaks count="1" manualBreakCount="1">
    <brk id="9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3E8A92"/>
    <pageSetUpPr fitToPage="1"/>
  </sheetPr>
  <dimension ref="A1:AH61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63.7109375" style="63" customWidth="1"/>
    <col min="2" max="2" width="10.42578125" style="63" customWidth="1"/>
    <col min="3" max="3" width="11.42578125" style="63" customWidth="1"/>
    <col min="4" max="18" width="10.42578125" style="63" customWidth="1"/>
    <col min="19" max="19" width="10.42578125" style="32" customWidth="1"/>
    <col min="20" max="21" width="9.140625" style="32"/>
    <col min="22" max="22" width="9.7109375" style="32" bestFit="1" customWidth="1"/>
    <col min="23" max="30" width="9.140625" style="32"/>
    <col min="31" max="31" width="10.28515625" style="32" bestFit="1" customWidth="1"/>
    <col min="32" max="34" width="9.140625" style="32"/>
    <col min="35" max="35" width="2.5703125" style="32" customWidth="1"/>
    <col min="36" max="16384" width="9.140625" style="32"/>
  </cols>
  <sheetData>
    <row r="1" spans="1:19" ht="39.950000000000003" customHeight="1" x14ac:dyDescent="0.25">
      <c r="A1" s="50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ht="20.100000000000001" customHeight="1" x14ac:dyDescent="0.25">
      <c r="A2" s="51" t="s">
        <v>62</v>
      </c>
      <c r="B2" s="52"/>
      <c r="C2" s="53"/>
      <c r="D2" s="5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9" ht="39.950000000000003" customHeight="1" x14ac:dyDescent="0.25">
      <c r="A3" s="54" t="s">
        <v>63</v>
      </c>
      <c r="B3" s="55"/>
      <c r="C3" s="56" t="s">
        <v>64</v>
      </c>
      <c r="D3" s="55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9" x14ac:dyDescent="0.25">
      <c r="A4" s="57" t="s">
        <v>65</v>
      </c>
      <c r="B4" s="40"/>
      <c r="C4" s="145" t="str">
        <f>'EDB Select'!C3</f>
        <v>PQR Total</v>
      </c>
      <c r="D4" s="14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25">
      <c r="A5" s="58" t="s">
        <v>66</v>
      </c>
      <c r="B5" s="40"/>
      <c r="C5" s="145">
        <f>'EDB Select'!C4</f>
        <v>31</v>
      </c>
      <c r="D5" s="145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9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9" ht="39.950000000000003" customHeight="1" x14ac:dyDescent="0.25">
      <c r="A7" s="34"/>
      <c r="B7" s="34" t="s">
        <v>67</v>
      </c>
      <c r="C7" s="34" t="s">
        <v>12</v>
      </c>
      <c r="D7" s="34" t="s">
        <v>13</v>
      </c>
      <c r="E7" s="34" t="s">
        <v>14</v>
      </c>
      <c r="F7" s="34" t="s">
        <v>166</v>
      </c>
      <c r="G7" s="34" t="s">
        <v>17</v>
      </c>
      <c r="H7" s="34" t="s">
        <v>18</v>
      </c>
      <c r="I7" s="34" t="s">
        <v>19</v>
      </c>
      <c r="J7" s="34" t="s">
        <v>21</v>
      </c>
      <c r="K7" s="34" t="s">
        <v>22</v>
      </c>
      <c r="L7" s="34" t="s">
        <v>26</v>
      </c>
      <c r="M7" s="34" t="s">
        <v>27</v>
      </c>
      <c r="N7" s="34" t="s">
        <v>29</v>
      </c>
      <c r="O7" s="34" t="s">
        <v>31</v>
      </c>
      <c r="P7" s="34" t="s">
        <v>165</v>
      </c>
      <c r="Q7" s="34" t="s">
        <v>167</v>
      </c>
      <c r="R7" s="34" t="s">
        <v>33</v>
      </c>
      <c r="S7" s="34" t="s">
        <v>139</v>
      </c>
    </row>
    <row r="8" spans="1:19" x14ac:dyDescent="0.25">
      <c r="A8" s="59" t="s">
        <v>66</v>
      </c>
      <c r="B8" s="60">
        <f>C5</f>
        <v>31</v>
      </c>
      <c r="C8" s="60">
        <f>INDEX(Inputs!$C$19:$AG$19,MATCH(C7,Inputs!$C$18:$AG$18,0),)</f>
        <v>1</v>
      </c>
      <c r="D8" s="60">
        <f>INDEX(Inputs!$C$19:$AG$19,MATCH(D7,Inputs!$C$18:$AG$18,0))</f>
        <v>2</v>
      </c>
      <c r="E8" s="60">
        <f>INDEX(Inputs!$C$19:$AG$19,MATCH(E7,Inputs!$C$18:$AG$18,0))</f>
        <v>4</v>
      </c>
      <c r="F8" s="60">
        <f>INDEX(Inputs!$C$19:$AG$19,MATCH(F7,Inputs!$C$18:$AG$18,0))</f>
        <v>6</v>
      </c>
      <c r="G8" s="60">
        <f>INDEX(Inputs!$C$19:$AG$19,MATCH(G7,Inputs!$C$18:$AG$18,0))</f>
        <v>8</v>
      </c>
      <c r="H8" s="60">
        <f>INDEX(Inputs!$C$19:$AG$19,MATCH(H7,Inputs!$C$18:$AG$18,0))</f>
        <v>9</v>
      </c>
      <c r="I8" s="60">
        <f>INDEX(Inputs!$C$19:$AG$19,MATCH(I7,Inputs!$C$18:$AG$18,0))</f>
        <v>10</v>
      </c>
      <c r="J8" s="60">
        <f>INDEX(Inputs!$C$19:$AG$19,MATCH(J7,Inputs!$C$18:$AG$18,0))</f>
        <v>13</v>
      </c>
      <c r="K8" s="60">
        <f>INDEX(Inputs!$C$19:$AG$19,MATCH(K7,Inputs!$C$18:$AG$18,0))</f>
        <v>14</v>
      </c>
      <c r="L8" s="60">
        <f>INDEX(Inputs!$C$19:$AG$19,MATCH(L7,Inputs!$C$18:$AG$18,0))</f>
        <v>18</v>
      </c>
      <c r="M8" s="60">
        <f>INDEX(Inputs!$C$19:$AG$19,MATCH(M7,Inputs!$C$18:$AG$18,0))</f>
        <v>19</v>
      </c>
      <c r="N8" s="60">
        <f>INDEX(Inputs!$C$19:$AG$19,MATCH(N7,Inputs!$C$18:$AG$18,0))</f>
        <v>21</v>
      </c>
      <c r="O8" s="60">
        <f>INDEX(Inputs!$C$19:$AG$19,MATCH(O7,Inputs!$C$18:$AG$18,0))</f>
        <v>23</v>
      </c>
      <c r="P8" s="60">
        <f>INDEX(Inputs!$C$19:$AG$19,MATCH(P7,Inputs!$C$18:$AG$18,0))</f>
        <v>24</v>
      </c>
      <c r="Q8" s="60">
        <f>INDEX(Inputs!$C$19:$AG$19,MATCH(Q7,Inputs!$C$18:$AG$18,0))</f>
        <v>25</v>
      </c>
      <c r="R8" s="60">
        <f>INDEX(Inputs!$C$19:$AG$19,MATCH(R7,Inputs!$C$18:$AG$18,0))</f>
        <v>28</v>
      </c>
      <c r="S8" s="60">
        <f>INDEX(Inputs!$C$19:$AG$19,MATCH(S7,Inputs!$C$18:$AG$18,0))</f>
        <v>31</v>
      </c>
    </row>
    <row r="9" spans="1:19" s="62" customFormat="1" x14ac:dyDescent="0.25">
      <c r="A9" s="41" t="s">
        <v>58</v>
      </c>
      <c r="B9" s="47">
        <f>Calculations!E43</f>
        <v>914.7076033053745</v>
      </c>
      <c r="C9" s="47">
        <f t="dataTable" ref="C9:S19" dt2D="0" dtr="1" r1="C5" ca="1"/>
        <v>35.771519397199746</v>
      </c>
      <c r="D9" s="47">
        <v>54.728180369198029</v>
      </c>
      <c r="E9" s="47">
        <v>10.129280789327579</v>
      </c>
      <c r="F9" s="47">
        <v>19.917225643761054</v>
      </c>
      <c r="G9" s="47">
        <v>22.483581903528044</v>
      </c>
      <c r="H9" s="47">
        <v>12.491743060250768</v>
      </c>
      <c r="I9" s="47">
        <v>19.279801052032255</v>
      </c>
      <c r="J9" s="47">
        <v>5.4969444702013739</v>
      </c>
      <c r="K9" s="47">
        <v>23.195138800608348</v>
      </c>
      <c r="L9" s="47">
        <v>18.483279967039042</v>
      </c>
      <c r="M9" s="47">
        <v>189.61160561852017</v>
      </c>
      <c r="N9" s="47">
        <v>25.80060742451694</v>
      </c>
      <c r="O9" s="47">
        <v>32.515477120410679</v>
      </c>
      <c r="P9" s="47">
        <v>92.434126378798624</v>
      </c>
      <c r="Q9" s="47">
        <v>281.17572603121442</v>
      </c>
      <c r="R9" s="47">
        <v>71.193365278767658</v>
      </c>
      <c r="S9" s="47">
        <v>914.7076033053745</v>
      </c>
    </row>
    <row r="10" spans="1:19" x14ac:dyDescent="0.25">
      <c r="A10" s="41" t="s">
        <v>59</v>
      </c>
      <c r="B10" s="47">
        <f>Calculations!E44</f>
        <v>901.10824633628465</v>
      </c>
      <c r="C10" s="47">
        <v>28.658015420910125</v>
      </c>
      <c r="D10" s="47">
        <v>54.945310938106765</v>
      </c>
      <c r="E10" s="47">
        <v>7.226196177373942</v>
      </c>
      <c r="F10" s="47">
        <v>16.696587950302845</v>
      </c>
      <c r="G10" s="47">
        <v>17.279086051550379</v>
      </c>
      <c r="H10" s="47">
        <v>12.407858268560325</v>
      </c>
      <c r="I10" s="47">
        <v>18.562357525164423</v>
      </c>
      <c r="J10" s="47">
        <v>6.1054893240361121</v>
      </c>
      <c r="K10" s="47">
        <v>20.811761251389186</v>
      </c>
      <c r="L10" s="47">
        <v>13.701596352365392</v>
      </c>
      <c r="M10" s="47">
        <v>186.90948542347951</v>
      </c>
      <c r="N10" s="47">
        <v>23.014674749967195</v>
      </c>
      <c r="O10" s="47">
        <v>31.497068105772861</v>
      </c>
      <c r="P10" s="47">
        <v>77.157611287991458</v>
      </c>
      <c r="Q10" s="47">
        <v>301.94493219421514</v>
      </c>
      <c r="R10" s="47">
        <v>84.190215315098939</v>
      </c>
      <c r="S10" s="47">
        <v>901.10824633628465</v>
      </c>
    </row>
    <row r="11" spans="1:19" x14ac:dyDescent="0.25">
      <c r="A11" s="41" t="s">
        <v>71</v>
      </c>
      <c r="B11" s="49">
        <f>Calculations!E45</f>
        <v>1.5091812803158744E-2</v>
      </c>
      <c r="C11" s="49">
        <v>0.24822039739357882</v>
      </c>
      <c r="D11" s="49">
        <v>-3.9517579426081584E-3</v>
      </c>
      <c r="E11" s="49">
        <v>0.40174450578072207</v>
      </c>
      <c r="F11" s="49">
        <v>0.19289196709198242</v>
      </c>
      <c r="G11" s="49">
        <v>0.30120203328177109</v>
      </c>
      <c r="H11" s="49">
        <v>6.7606181401180798E-3</v>
      </c>
      <c r="I11" s="49">
        <v>3.8650452987731621E-2</v>
      </c>
      <c r="J11" s="49">
        <v>-9.9671757911199088E-2</v>
      </c>
      <c r="K11" s="49">
        <v>0.11452070396300895</v>
      </c>
      <c r="L11" s="49">
        <v>0.34898733634407186</v>
      </c>
      <c r="M11" s="49">
        <v>1.4456838233321889E-2</v>
      </c>
      <c r="N11" s="49">
        <v>0.12105027356746434</v>
      </c>
      <c r="O11" s="49">
        <v>3.2333454377969861E-2</v>
      </c>
      <c r="P11" s="49">
        <v>0.19799103206795032</v>
      </c>
      <c r="Q11" s="49">
        <v>-6.8784748305170007E-2</v>
      </c>
      <c r="R11" s="49">
        <v>-0.15437482832996607</v>
      </c>
      <c r="S11" s="49">
        <v>1.5091812803158744E-2</v>
      </c>
    </row>
    <row r="12" spans="1:19" x14ac:dyDescent="0.25">
      <c r="A12" s="41" t="s">
        <v>72</v>
      </c>
      <c r="B12" s="47">
        <f>Calculations!E52</f>
        <v>1095.9608669156112</v>
      </c>
      <c r="C12" s="47">
        <v>50.74467763112289</v>
      </c>
      <c r="D12" s="47">
        <v>36.593443566815537</v>
      </c>
      <c r="E12" s="47">
        <v>6.9660975996223815</v>
      </c>
      <c r="F12" s="47">
        <v>23.779599606777964</v>
      </c>
      <c r="G12" s="47">
        <v>48.96577427132106</v>
      </c>
      <c r="H12" s="47">
        <v>14.221760712556007</v>
      </c>
      <c r="I12" s="47">
        <v>19.994494762080635</v>
      </c>
      <c r="J12" s="47">
        <v>12.936267299453885</v>
      </c>
      <c r="K12" s="47">
        <v>21.408752785920747</v>
      </c>
      <c r="L12" s="47">
        <v>33.951005201598385</v>
      </c>
      <c r="M12" s="47">
        <v>236.59756979895448</v>
      </c>
      <c r="N12" s="47">
        <v>23.185297433090994</v>
      </c>
      <c r="O12" s="47">
        <v>63.737686267937882</v>
      </c>
      <c r="P12" s="47">
        <v>93.643188618051852</v>
      </c>
      <c r="Q12" s="47">
        <v>332.28389824203219</v>
      </c>
      <c r="R12" s="47">
        <v>76.951353118274383</v>
      </c>
      <c r="S12" s="47">
        <v>1095.9608669156112</v>
      </c>
    </row>
    <row r="13" spans="1:19" x14ac:dyDescent="0.25">
      <c r="A13" s="41" t="s">
        <v>74</v>
      </c>
      <c r="B13" s="47">
        <f>Calculations!E53</f>
        <v>1061.1101253950428</v>
      </c>
      <c r="C13" s="47">
        <v>54.596407966153016</v>
      </c>
      <c r="D13" s="47">
        <v>48.06191633547413</v>
      </c>
      <c r="E13" s="47">
        <v>8.8969948085882304</v>
      </c>
      <c r="F13" s="47">
        <v>15.227636007695972</v>
      </c>
      <c r="G13" s="47">
        <v>28.623485908223099</v>
      </c>
      <c r="H13" s="47">
        <v>8.473443489312535</v>
      </c>
      <c r="I13" s="47">
        <v>12.643397814134349</v>
      </c>
      <c r="J13" s="47">
        <v>4.4135829054396982</v>
      </c>
      <c r="K13" s="47">
        <v>15.612971642846517</v>
      </c>
      <c r="L13" s="47">
        <v>26.159853132198936</v>
      </c>
      <c r="M13" s="47">
        <v>210.19664677036133</v>
      </c>
      <c r="N13" s="47">
        <v>22.046643393478096</v>
      </c>
      <c r="O13" s="47">
        <v>39.335669253670943</v>
      </c>
      <c r="P13" s="47">
        <v>102.30604555533125</v>
      </c>
      <c r="Q13" s="47">
        <v>374.1182656402126</v>
      </c>
      <c r="R13" s="47">
        <v>90.397164771922149</v>
      </c>
      <c r="S13" s="47">
        <v>1061.1101253950428</v>
      </c>
    </row>
    <row r="14" spans="1:19" x14ac:dyDescent="0.25">
      <c r="A14" s="41" t="s">
        <v>73</v>
      </c>
      <c r="B14" s="49">
        <f>Calculations!E54</f>
        <v>3.2843661262391244E-2</v>
      </c>
      <c r="C14" s="49">
        <v>-7.0549152929951009E-2</v>
      </c>
      <c r="D14" s="49">
        <v>-0.23861871608714447</v>
      </c>
      <c r="E14" s="49">
        <v>-0.21702802468783755</v>
      </c>
      <c r="F14" s="49">
        <v>0.56160809168014469</v>
      </c>
      <c r="G14" s="49">
        <v>0.71068521941466001</v>
      </c>
      <c r="H14" s="49">
        <v>0.67839211183667691</v>
      </c>
      <c r="I14" s="49">
        <v>0.58141783213752252</v>
      </c>
      <c r="J14" s="49">
        <v>1.9310126436075463</v>
      </c>
      <c r="K14" s="49">
        <v>0.37121576056469152</v>
      </c>
      <c r="L14" s="49">
        <v>0.29782858604086293</v>
      </c>
      <c r="M14" s="49">
        <v>0.12560106659282733</v>
      </c>
      <c r="N14" s="49">
        <v>5.1647501131611762E-2</v>
      </c>
      <c r="O14" s="49">
        <v>0.62035342164642726</v>
      </c>
      <c r="P14" s="49">
        <v>-8.4675904441973371E-2</v>
      </c>
      <c r="Q14" s="49">
        <v>-0.1118212374009353</v>
      </c>
      <c r="R14" s="49">
        <v>-0.14874151957721693</v>
      </c>
      <c r="S14" s="49">
        <v>3.2843661262391244E-2</v>
      </c>
    </row>
    <row r="15" spans="1:19" x14ac:dyDescent="0.25">
      <c r="A15" s="41" t="s">
        <v>193</v>
      </c>
      <c r="B15" s="49">
        <f>Calculations!E63</f>
        <v>-0.14526796758475791</v>
      </c>
      <c r="C15" s="49">
        <v>-0.55633444956710354</v>
      </c>
      <c r="D15" s="49">
        <v>-0.19451826472041089</v>
      </c>
      <c r="E15" s="49">
        <v>0.11185493575516525</v>
      </c>
      <c r="F15" s="49">
        <v>-6.5321664794337764E-5</v>
      </c>
      <c r="G15" s="49">
        <v>3.1889031727778017E-2</v>
      </c>
      <c r="H15" s="49">
        <v>-0.17796636471985372</v>
      </c>
      <c r="I15" s="49">
        <v>-0.28788165822984402</v>
      </c>
      <c r="J15" s="49">
        <v>-0.67855919617682214</v>
      </c>
      <c r="K15" s="49">
        <v>-0.38225336461398352</v>
      </c>
      <c r="L15" s="49">
        <v>-0.243791716069505</v>
      </c>
      <c r="M15" s="49">
        <v>-6.6304240871268849E-2</v>
      </c>
      <c r="N15" s="49">
        <v>-1.9885160432700277E-2</v>
      </c>
      <c r="O15" s="49">
        <v>-0.18147608905269186</v>
      </c>
      <c r="P15" s="49">
        <v>-0.24184322171036321</v>
      </c>
      <c r="Q15" s="49">
        <v>-6.5134173053328914E-2</v>
      </c>
      <c r="R15" s="49">
        <v>-0.23194332580620558</v>
      </c>
      <c r="S15" s="49">
        <v>-0.14526796758475791</v>
      </c>
    </row>
    <row r="16" spans="1:19" x14ac:dyDescent="0.25">
      <c r="A16" s="41"/>
      <c r="B16" s="133"/>
      <c r="C16" s="133">
        <v>0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</row>
    <row r="17" spans="1:34" x14ac:dyDescent="0.25">
      <c r="A17" s="41" t="s">
        <v>81</v>
      </c>
      <c r="B17" s="137">
        <f>Calculations!E74</f>
        <v>0.97782955415082617</v>
      </c>
      <c r="C17" s="137">
        <v>1.2408965144976671</v>
      </c>
      <c r="D17" s="137">
        <v>1.0090707762714448</v>
      </c>
      <c r="E17" s="137">
        <v>1.4262633574084369</v>
      </c>
      <c r="F17" s="137">
        <v>1.1896702836816042</v>
      </c>
      <c r="G17" s="137">
        <v>1.2428908195502257</v>
      </c>
      <c r="H17" s="137">
        <v>0.99521639546086937</v>
      </c>
      <c r="I17" s="137">
        <v>1.0510053909203045</v>
      </c>
      <c r="J17" s="137">
        <v>0.91010263538291936</v>
      </c>
      <c r="K17" s="137">
        <v>1.105953054839443</v>
      </c>
      <c r="L17" s="137">
        <v>1.3756405907544247</v>
      </c>
      <c r="M17" s="137">
        <v>0.9136251757693693</v>
      </c>
      <c r="N17" s="137">
        <v>1.1388012057034043</v>
      </c>
      <c r="O17" s="137">
        <v>1.048344067128975</v>
      </c>
      <c r="P17" s="137">
        <v>1.1382397817874186</v>
      </c>
      <c r="Q17" s="137">
        <v>0.89305244436334508</v>
      </c>
      <c r="R17" s="137">
        <v>0.85214546603202035</v>
      </c>
      <c r="S17" s="137">
        <v>0.97782955415082617</v>
      </c>
    </row>
    <row r="18" spans="1:34" x14ac:dyDescent="0.25">
      <c r="A18" s="41" t="s">
        <v>86</v>
      </c>
      <c r="B18" s="137">
        <f>Calculations!E85</f>
        <v>1.1780868509004507</v>
      </c>
      <c r="C18" s="137">
        <v>1.0404106411162053</v>
      </c>
      <c r="D18" s="137">
        <v>1.0998163938805037</v>
      </c>
      <c r="E18" s="137">
        <v>0.82539684737536545</v>
      </c>
      <c r="F18" s="137">
        <v>1.5888440152897156</v>
      </c>
      <c r="G18" s="137">
        <v>1.6792077656426865</v>
      </c>
      <c r="H18" s="137">
        <v>1.7065140873209201</v>
      </c>
      <c r="I18" s="137">
        <v>1.5662260288370149</v>
      </c>
      <c r="J18" s="137">
        <v>3.6435318845901592</v>
      </c>
      <c r="K18" s="137">
        <v>1.5071237509267497</v>
      </c>
      <c r="L18" s="137">
        <v>1.0711598973659997</v>
      </c>
      <c r="M18" s="137">
        <v>1.3098394653392365</v>
      </c>
      <c r="N18" s="137">
        <v>1.0845132173025664</v>
      </c>
      <c r="O18" s="137">
        <v>1.6224073987645893</v>
      </c>
      <c r="P18" s="137">
        <v>0.99799879900264432</v>
      </c>
      <c r="Q18" s="137">
        <v>1.1033116008679822</v>
      </c>
      <c r="R18" s="137">
        <v>0.89256857382644472</v>
      </c>
      <c r="S18" s="137">
        <v>1.1780868509004507</v>
      </c>
    </row>
    <row r="19" spans="1:34" x14ac:dyDescent="0.25">
      <c r="A19" s="41"/>
      <c r="B19" s="47"/>
      <c r="C19" s="136">
        <v>0</v>
      </c>
      <c r="D19" s="136">
        <v>0</v>
      </c>
      <c r="E19" s="136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</row>
    <row r="20" spans="1:34" ht="39.950000000000003" customHeight="1" x14ac:dyDescent="0.25">
      <c r="A20" s="34"/>
      <c r="B20" s="34" t="s">
        <v>67</v>
      </c>
      <c r="C20" s="81" t="s">
        <v>12</v>
      </c>
      <c r="D20" s="34" t="s">
        <v>13</v>
      </c>
      <c r="E20" s="34" t="s">
        <v>3</v>
      </c>
      <c r="F20" s="34" t="s">
        <v>14</v>
      </c>
      <c r="G20" s="34" t="s">
        <v>15</v>
      </c>
      <c r="H20" s="34" t="s">
        <v>166</v>
      </c>
      <c r="I20" s="34" t="s">
        <v>16</v>
      </c>
      <c r="J20" s="34" t="s">
        <v>17</v>
      </c>
      <c r="K20" s="34" t="s">
        <v>18</v>
      </c>
      <c r="L20" s="34" t="s">
        <v>19</v>
      </c>
      <c r="M20" s="34" t="s">
        <v>168</v>
      </c>
      <c r="N20" s="34" t="s">
        <v>20</v>
      </c>
      <c r="O20" s="34" t="s">
        <v>21</v>
      </c>
      <c r="P20" s="34" t="s">
        <v>22</v>
      </c>
      <c r="Q20" s="34" t="s">
        <v>23</v>
      </c>
      <c r="R20" s="34" t="s">
        <v>24</v>
      </c>
      <c r="S20" s="34" t="s">
        <v>25</v>
      </c>
      <c r="T20" s="34" t="s">
        <v>26</v>
      </c>
      <c r="U20" s="34" t="s">
        <v>27</v>
      </c>
      <c r="V20" s="34" t="s">
        <v>28</v>
      </c>
      <c r="W20" s="34" t="s">
        <v>29</v>
      </c>
      <c r="X20" s="34" t="s">
        <v>30</v>
      </c>
      <c r="Y20" s="34" t="s">
        <v>31</v>
      </c>
      <c r="Z20" s="34" t="s">
        <v>165</v>
      </c>
      <c r="AA20" s="34" t="s">
        <v>167</v>
      </c>
      <c r="AB20" s="34" t="s">
        <v>32</v>
      </c>
      <c r="AC20" s="34" t="s">
        <v>164</v>
      </c>
      <c r="AD20" s="34" t="s">
        <v>33</v>
      </c>
      <c r="AE20" s="34" t="s">
        <v>34</v>
      </c>
      <c r="AF20" s="34" t="s">
        <v>141</v>
      </c>
      <c r="AG20" s="34" t="s">
        <v>139</v>
      </c>
      <c r="AH20" s="34" t="s">
        <v>162</v>
      </c>
    </row>
    <row r="21" spans="1:34" x14ac:dyDescent="0.25">
      <c r="A21" s="59" t="s">
        <v>66</v>
      </c>
      <c r="B21" s="60">
        <f>C5</f>
        <v>31</v>
      </c>
      <c r="C21" s="60">
        <f>INDEX(Inputs!$C$19:$AH$19,MATCH(C20,Inputs!$C$18:$AH$18,0))</f>
        <v>1</v>
      </c>
      <c r="D21" s="60">
        <f>INDEX(Inputs!$C$19:$AH$19,MATCH(D20,Inputs!$C$18:$AH$18,0))</f>
        <v>2</v>
      </c>
      <c r="E21" s="60">
        <f>INDEX(Inputs!$C$19:$AH$19,MATCH(E20,Inputs!$C$18:$AH$18,0))</f>
        <v>3</v>
      </c>
      <c r="F21" s="60">
        <f>INDEX(Inputs!$C$19:$AH$19,MATCH(F20,Inputs!$C$18:$AH$18,0))</f>
        <v>4</v>
      </c>
      <c r="G21" s="60">
        <f>INDEX(Inputs!$C$19:$AH$19,MATCH(G20,Inputs!$C$18:$AH$18,0))</f>
        <v>5</v>
      </c>
      <c r="H21" s="60">
        <f>INDEX(Inputs!$C$19:$AH$19,MATCH(H20,Inputs!$C$18:$AH$18,0))</f>
        <v>6</v>
      </c>
      <c r="I21" s="60">
        <f>INDEX(Inputs!$C$19:$AH$19,MATCH(I20,Inputs!$C$18:$AH$18,0))</f>
        <v>7</v>
      </c>
      <c r="J21" s="60">
        <f>INDEX(Inputs!$C$19:$AH$19,MATCH(J20,Inputs!$C$18:$AH$18,0))</f>
        <v>8</v>
      </c>
      <c r="K21" s="60">
        <f>INDEX(Inputs!$C$19:$AH$19,MATCH(K20,Inputs!$C$18:$AH$18,0))</f>
        <v>9</v>
      </c>
      <c r="L21" s="60">
        <f>INDEX(Inputs!$C$19:$AH$19,MATCH(L20,Inputs!$C$18:$AH$18,0))</f>
        <v>10</v>
      </c>
      <c r="M21" s="60">
        <f>INDEX(Inputs!$C$19:$AH$19,MATCH(M20,Inputs!$C$18:$AH$18,0))</f>
        <v>11</v>
      </c>
      <c r="N21" s="60">
        <f>INDEX(Inputs!$C$19:$AH$19,MATCH(N20,Inputs!$C$18:$AH$18,0))</f>
        <v>12</v>
      </c>
      <c r="O21" s="60">
        <f>INDEX(Inputs!$C$19:$AH$19,MATCH(O20,Inputs!$C$18:$AH$18,0))</f>
        <v>13</v>
      </c>
      <c r="P21" s="60">
        <f>INDEX(Inputs!$C$19:$AH$19,MATCH(P20,Inputs!$C$18:$AH$18,0))</f>
        <v>14</v>
      </c>
      <c r="Q21" s="60">
        <f>INDEX(Inputs!$C$19:$AH$19,MATCH(Q20,Inputs!$C$18:$AH$18,0))</f>
        <v>15</v>
      </c>
      <c r="R21" s="60">
        <f>INDEX(Inputs!$C$19:$AH$19,MATCH(R20,Inputs!$C$18:$AH$18,0))</f>
        <v>16</v>
      </c>
      <c r="S21" s="60">
        <f>INDEX(Inputs!$C$19:$AH$19,MATCH(S20,Inputs!$C$18:$AH$18,0))</f>
        <v>17</v>
      </c>
      <c r="T21" s="60">
        <f>INDEX(Inputs!$C$19:$AH$19,MATCH(T20,Inputs!$C$18:$AH$18,0))</f>
        <v>18</v>
      </c>
      <c r="U21" s="60">
        <f>INDEX(Inputs!$C$19:$AH$19,MATCH(U20,Inputs!$C$18:$AH$18,0))</f>
        <v>19</v>
      </c>
      <c r="V21" s="60">
        <f>INDEX(Inputs!$C$19:$AH$19,MATCH(V20,Inputs!$C$18:$AH$18,0))</f>
        <v>20</v>
      </c>
      <c r="W21" s="60">
        <f>INDEX(Inputs!$C$19:$AH$19,MATCH(W20,Inputs!$C$18:$AH$18,0))</f>
        <v>21</v>
      </c>
      <c r="X21" s="60">
        <f>INDEX(Inputs!$C$19:$AH$19,MATCH(X20,Inputs!$C$18:$AH$18,0))</f>
        <v>22</v>
      </c>
      <c r="Y21" s="60">
        <f>INDEX(Inputs!$C$19:$AH$19,MATCH(Y20,Inputs!$C$18:$AH$18,0))</f>
        <v>23</v>
      </c>
      <c r="Z21" s="60">
        <f>INDEX(Inputs!$C$19:$AH$19,MATCH(Z20,Inputs!$C$18:$AH$18,0))</f>
        <v>24</v>
      </c>
      <c r="AA21" s="60">
        <f>INDEX(Inputs!$C$19:$AH$19,MATCH(AA20,Inputs!$C$18:$AH$18,0))</f>
        <v>25</v>
      </c>
      <c r="AB21" s="60">
        <f>INDEX(Inputs!$C$19:$AH$19,MATCH(AB20,Inputs!$C$18:$AH$18,0))</f>
        <v>26</v>
      </c>
      <c r="AC21" s="60">
        <f>INDEX(Inputs!$C$19:$AH$19,MATCH(AC20,Inputs!$C$18:$AH$18,0))</f>
        <v>27</v>
      </c>
      <c r="AD21" s="60">
        <f>INDEX(Inputs!$C$19:$AH$19,MATCH(AD20,Inputs!$C$18:$AH$18,0))</f>
        <v>28</v>
      </c>
      <c r="AE21" s="60">
        <f>INDEX(Inputs!$C$19:$AH$19,MATCH(AE20,Inputs!$C$18:$AH$18,0))</f>
        <v>29</v>
      </c>
      <c r="AF21" s="60">
        <f>INDEX(Inputs!$C$19:$AH$19,MATCH(AF20,Inputs!$C$18:$AH$18,0))</f>
        <v>30</v>
      </c>
      <c r="AG21" s="60">
        <f>INDEX(Inputs!$C$19:$AH$19,MATCH(AG20,Inputs!$C$18:$AH$18,0))</f>
        <v>31</v>
      </c>
      <c r="AH21" s="60">
        <f>INDEX(Inputs!$C$19:$AH$19,MATCH(AH20,Inputs!$C$18:$AH$18,0))</f>
        <v>32</v>
      </c>
    </row>
    <row r="22" spans="1:34" ht="18.75" x14ac:dyDescent="0.3">
      <c r="A22" s="31" t="s">
        <v>151</v>
      </c>
      <c r="B22" s="107"/>
      <c r="C22" s="107">
        <f t="dataTable" ref="C22:AH29" dt2D="0" dtr="1" r1="C5"/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107">
        <v>0</v>
      </c>
      <c r="AC22" s="107">
        <v>0</v>
      </c>
      <c r="AD22" s="107">
        <v>0</v>
      </c>
      <c r="AE22" s="107">
        <v>0</v>
      </c>
      <c r="AF22" s="107">
        <v>0</v>
      </c>
      <c r="AG22" s="107">
        <v>0</v>
      </c>
      <c r="AH22" s="107">
        <v>0</v>
      </c>
    </row>
    <row r="23" spans="1:34" x14ac:dyDescent="0.25">
      <c r="A23" s="61" t="s">
        <v>134</v>
      </c>
      <c r="B23" s="109">
        <f>Calculations!D118</f>
        <v>0.14337012444328434</v>
      </c>
      <c r="C23" s="109">
        <v>0.29046201592928167</v>
      </c>
      <c r="D23" s="109">
        <v>0.13448372538167486</v>
      </c>
      <c r="E23" s="109">
        <v>0.25115656928868857</v>
      </c>
      <c r="F23" s="109">
        <v>0.34872881789683419</v>
      </c>
      <c r="G23" s="109">
        <v>4.6586055520124514E-2</v>
      </c>
      <c r="H23" s="109">
        <v>0.2934753374507022</v>
      </c>
      <c r="I23" s="109">
        <v>0.14736971165506385</v>
      </c>
      <c r="J23" s="109">
        <v>0.30387775741224665</v>
      </c>
      <c r="K23" s="109">
        <v>7.9952780278018887E-2</v>
      </c>
      <c r="L23" s="109">
        <v>6.522656654355008E-2</v>
      </c>
      <c r="M23" s="109">
        <v>0.23950454478318584</v>
      </c>
      <c r="N23" s="109">
        <v>-0.22358772964125151</v>
      </c>
      <c r="O23" s="109">
        <v>8.5108585932925251E-2</v>
      </c>
      <c r="P23" s="109">
        <v>9.0679530148082055E-2</v>
      </c>
      <c r="Q23" s="109">
        <v>0.2308348545196004</v>
      </c>
      <c r="R23" s="109">
        <v>-2.3148134545038279E-2</v>
      </c>
      <c r="S23" s="109">
        <v>0.13065027604569179</v>
      </c>
      <c r="T23" s="109">
        <v>0.35495740053923441</v>
      </c>
      <c r="U23" s="109">
        <v>7.7598265734194483E-2</v>
      </c>
      <c r="V23" s="109">
        <v>7.0653130024762367E-2</v>
      </c>
      <c r="W23" s="109">
        <v>0.39780186821643038</v>
      </c>
      <c r="X23" s="109">
        <v>0.20203193471806236</v>
      </c>
      <c r="Y23" s="109">
        <v>5.5900157116412608E-2</v>
      </c>
      <c r="Z23" s="109">
        <v>0.27453156880651175</v>
      </c>
      <c r="AA23" s="109">
        <v>0.15116302809212612</v>
      </c>
      <c r="AB23" s="109">
        <v>8.5523689228857558E-2</v>
      </c>
      <c r="AC23" s="109">
        <v>-2.2034303221174278E-2</v>
      </c>
      <c r="AD23" s="109">
        <v>-6.9076725131581473E-2</v>
      </c>
      <c r="AE23" s="109">
        <v>9.3159735418259171E-2</v>
      </c>
      <c r="AF23" s="109">
        <v>0.12067037167748884</v>
      </c>
      <c r="AG23" s="109">
        <v>0.14337012444328434</v>
      </c>
      <c r="AH23" s="109">
        <v>5.6387807535308809E-2</v>
      </c>
    </row>
    <row r="24" spans="1:34" x14ac:dyDescent="0.25">
      <c r="A24" s="41" t="s">
        <v>153</v>
      </c>
      <c r="B24" s="109">
        <f>Calculations!D119</f>
        <v>0.23947097190756383</v>
      </c>
      <c r="C24" s="109">
        <v>0.59670393482394468</v>
      </c>
      <c r="D24" s="109">
        <v>2.5139545012709652E-2</v>
      </c>
      <c r="E24" s="109">
        <v>0.38070014874355174</v>
      </c>
      <c r="F24" s="109">
        <v>-0.34158959604192973</v>
      </c>
      <c r="G24" s="109">
        <v>0.75179649511355717</v>
      </c>
      <c r="H24" s="109">
        <v>0.91411891957254499</v>
      </c>
      <c r="I24" s="109">
        <v>3.4973151276753933E-2</v>
      </c>
      <c r="J24" s="109">
        <v>0.25204380379628888</v>
      </c>
      <c r="K24" s="109">
        <v>0.70174030970542089</v>
      </c>
      <c r="L24" s="109">
        <v>0.69939336148796816</v>
      </c>
      <c r="M24" s="109">
        <v>1.0999133119952935</v>
      </c>
      <c r="N24" s="109">
        <v>-8.3516723074337884E-2</v>
      </c>
      <c r="O24" s="109">
        <v>3.4542350535163191</v>
      </c>
      <c r="P24" s="109">
        <v>0.9615553931377494</v>
      </c>
      <c r="Q24" s="109">
        <v>0.42544592243949575</v>
      </c>
      <c r="R24" s="109">
        <v>0.47358204613319987</v>
      </c>
      <c r="S24" s="109">
        <v>0.73620393930482186</v>
      </c>
      <c r="T24" s="109">
        <v>0.39797740843169493</v>
      </c>
      <c r="U24" s="109">
        <v>0.25497410023117761</v>
      </c>
      <c r="V24" s="109">
        <v>0.82757522980719567</v>
      </c>
      <c r="W24" s="109">
        <v>0.11277323029744113</v>
      </c>
      <c r="X24" s="109">
        <v>0.28912201128301529</v>
      </c>
      <c r="Y24" s="109">
        <v>1.0328695762809912</v>
      </c>
      <c r="Z24" s="109">
        <v>0.10829479922586249</v>
      </c>
      <c r="AA24" s="109">
        <v>0.17827738541378979</v>
      </c>
      <c r="AB24" s="109">
        <v>0.30140471936568791</v>
      </c>
      <c r="AC24" s="109">
        <v>0.44060911890588672</v>
      </c>
      <c r="AD24" s="109">
        <v>3.5878454241121238E-2</v>
      </c>
      <c r="AE24" s="109">
        <v>-0.47823111174818489</v>
      </c>
      <c r="AF24" s="109">
        <v>0.26957859589306432</v>
      </c>
      <c r="AG24" s="109">
        <v>0.23947097190756383</v>
      </c>
      <c r="AH24" s="109">
        <v>0.3597745809544739</v>
      </c>
    </row>
    <row r="25" spans="1:34" x14ac:dyDescent="0.25">
      <c r="A25" s="61" t="s">
        <v>144</v>
      </c>
      <c r="B25" s="109">
        <f>Calculations!D120</f>
        <v>0.19702194337912338</v>
      </c>
      <c r="C25" s="109">
        <v>0.46227491988385472</v>
      </c>
      <c r="D25" s="109">
        <v>8.0279857675492838E-2</v>
      </c>
      <c r="E25" s="109">
        <v>0.29419878991449</v>
      </c>
      <c r="F25" s="109">
        <v>-6.1693092598802957E-2</v>
      </c>
      <c r="G25" s="109">
        <v>0.41165470507929114</v>
      </c>
      <c r="H25" s="109">
        <v>0.57178498511012221</v>
      </c>
      <c r="I25" s="109">
        <v>9.5151405863209249E-2</v>
      </c>
      <c r="J25" s="109">
        <v>0.26772827489740902</v>
      </c>
      <c r="K25" s="109">
        <v>0.34306212455685414</v>
      </c>
      <c r="L25" s="109">
        <v>0.30963613815887125</v>
      </c>
      <c r="M25" s="109">
        <v>0.75508707390939822</v>
      </c>
      <c r="N25" s="109">
        <v>-0.15681218663303076</v>
      </c>
      <c r="O25" s="109">
        <v>1.4634735949215982</v>
      </c>
      <c r="P25" s="109">
        <v>0.40618080020032665</v>
      </c>
      <c r="Q25" s="109">
        <v>0.3451182704990492</v>
      </c>
      <c r="R25" s="109">
        <v>0.15950647168062626</v>
      </c>
      <c r="S25" s="109">
        <v>0.42642544664568849</v>
      </c>
      <c r="T25" s="109">
        <v>0.3803223681312502</v>
      </c>
      <c r="U25" s="109">
        <v>0.17999683144231615</v>
      </c>
      <c r="V25" s="109">
        <v>0.34775175520766854</v>
      </c>
      <c r="W25" s="109">
        <v>0.24580417709998725</v>
      </c>
      <c r="X25" s="109">
        <v>0.25492555794008331</v>
      </c>
      <c r="Y25" s="109">
        <v>0.54795122180951039</v>
      </c>
      <c r="Z25" s="109">
        <v>0.18008874975441902</v>
      </c>
      <c r="AA25" s="109">
        <v>0.16701828835474064</v>
      </c>
      <c r="AB25" s="109">
        <v>0.23454597332153204</v>
      </c>
      <c r="AC25" s="109">
        <v>0.20573842081973814</v>
      </c>
      <c r="AD25" s="109">
        <v>-1.8229764432429518E-2</v>
      </c>
      <c r="AE25" s="109">
        <v>-0.15142170587922033</v>
      </c>
      <c r="AF25" s="109">
        <v>0.20327525966954751</v>
      </c>
      <c r="AG25" s="109">
        <v>0.19702194337912338</v>
      </c>
      <c r="AH25" s="109">
        <v>0.22154180090211306</v>
      </c>
    </row>
    <row r="26" spans="1:34" ht="18.75" x14ac:dyDescent="0.3">
      <c r="A26" s="31" t="s">
        <v>152</v>
      </c>
      <c r="B26" s="107"/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</row>
    <row r="27" spans="1:34" x14ac:dyDescent="0.25">
      <c r="A27" s="105" t="s">
        <v>134</v>
      </c>
      <c r="B27" s="109">
        <f>Calculations!E118</f>
        <v>0.1276706825195868</v>
      </c>
      <c r="C27" s="109">
        <v>0.41046498731051595</v>
      </c>
      <c r="D27" s="109">
        <v>4.7773924207245022E-2</v>
      </c>
      <c r="E27" s="109">
        <v>0.33079730984027256</v>
      </c>
      <c r="F27" s="109">
        <v>0.41955289461401746</v>
      </c>
      <c r="G27" s="109">
        <v>6.0121640450963021E-3</v>
      </c>
      <c r="H27" s="109">
        <v>0.17272829796746514</v>
      </c>
      <c r="I27" s="109">
        <v>0.14003120095777355</v>
      </c>
      <c r="J27" s="109">
        <v>0.25310980316635057</v>
      </c>
      <c r="K27" s="109">
        <v>0.18929060925730301</v>
      </c>
      <c r="L27" s="109">
        <v>1.082232606683653E-2</v>
      </c>
      <c r="M27" s="109">
        <v>0.23494390335761195</v>
      </c>
      <c r="N27" s="109">
        <v>-0.14019679715548783</v>
      </c>
      <c r="O27" s="109">
        <v>1.6389774317089323E-3</v>
      </c>
      <c r="P27" s="109">
        <v>8.3544071068025749E-2</v>
      </c>
      <c r="Q27" s="109">
        <v>0.19054572262037262</v>
      </c>
      <c r="R27" s="109">
        <v>-7.151518637895582E-2</v>
      </c>
      <c r="S27" s="109">
        <v>0.31677002842445345</v>
      </c>
      <c r="T27" s="109">
        <v>0.26992692060746637</v>
      </c>
      <c r="U27" s="109">
        <v>5.1826780462772559E-2</v>
      </c>
      <c r="V27" s="109">
        <v>6.0474449860884905E-2</v>
      </c>
      <c r="W27" s="109">
        <v>0.36888192911745499</v>
      </c>
      <c r="X27" s="109">
        <v>0.17346688426260282</v>
      </c>
      <c r="Y27" s="109">
        <v>0.22591712326411484</v>
      </c>
      <c r="Z27" s="109">
        <v>0.31786841275025823</v>
      </c>
      <c r="AA27" s="109">
        <v>0.11007602847040365</v>
      </c>
      <c r="AB27" s="109">
        <v>9.6784863374567598E-2</v>
      </c>
      <c r="AC27" s="109">
        <v>1.7268272915804683E-2</v>
      </c>
      <c r="AD27" s="109">
        <v>-6.6594981841895273E-2</v>
      </c>
      <c r="AE27" s="109">
        <v>8.9170985953832771E-2</v>
      </c>
      <c r="AF27" s="109">
        <v>0.10833963588422946</v>
      </c>
      <c r="AG27" s="109">
        <v>0.1276706825195868</v>
      </c>
      <c r="AH27" s="109">
        <v>5.4248886618540437E-2</v>
      </c>
    </row>
    <row r="28" spans="1:34" x14ac:dyDescent="0.25">
      <c r="A28" s="106" t="s">
        <v>137</v>
      </c>
      <c r="B28" s="109">
        <f>Calculations!E119</f>
        <v>0.18752223526865963</v>
      </c>
      <c r="C28" s="109">
        <v>0.73845838462128888</v>
      </c>
      <c r="D28" s="109">
        <v>-1.4100240649910223E-3</v>
      </c>
      <c r="E28" s="109">
        <v>0.23716862661304283</v>
      </c>
      <c r="F28" s="109">
        <v>-0.23437408078674471</v>
      </c>
      <c r="G28" s="109">
        <v>0.21710502289233546</v>
      </c>
      <c r="H28" s="109">
        <v>0.65660962949256607</v>
      </c>
      <c r="I28" s="109">
        <v>-0.11227080541915979</v>
      </c>
      <c r="J28" s="109">
        <v>0.25271632131791244</v>
      </c>
      <c r="K28" s="109">
        <v>0.66371610701686845</v>
      </c>
      <c r="L28" s="109">
        <v>1.086280896917013</v>
      </c>
      <c r="M28" s="109">
        <v>0.50336901984801385</v>
      </c>
      <c r="N28" s="109">
        <v>-7.1614820540364388E-3</v>
      </c>
      <c r="O28" s="109">
        <v>2.4001790466322284</v>
      </c>
      <c r="P28" s="109">
        <v>0.74858162056099298</v>
      </c>
      <c r="Q28" s="109">
        <v>0.15396355070433532</v>
      </c>
      <c r="R28" s="109">
        <v>0.42701984240301871</v>
      </c>
      <c r="S28" s="109">
        <v>0.75853665516238356</v>
      </c>
      <c r="T28" s="109">
        <v>0.51198117632427498</v>
      </c>
      <c r="U28" s="109">
        <v>0.16949742788111766</v>
      </c>
      <c r="V28" s="109">
        <v>0.47183145359754075</v>
      </c>
      <c r="W28" s="109">
        <v>5.999238517875316E-3</v>
      </c>
      <c r="X28" s="109">
        <v>1.8081227943040901E-3</v>
      </c>
      <c r="Y28" s="109">
        <v>1.5158980243907783</v>
      </c>
      <c r="Z28" s="109">
        <v>1.2845593302677205E-2</v>
      </c>
      <c r="AA28" s="109">
        <v>0.30809518164094363</v>
      </c>
      <c r="AB28" s="109">
        <v>0.37209746264487875</v>
      </c>
      <c r="AC28" s="109">
        <v>0.34742784481283251</v>
      </c>
      <c r="AD28" s="109">
        <v>-0.22000758942820642</v>
      </c>
      <c r="AE28" s="109">
        <v>-0.45509904164745796</v>
      </c>
      <c r="AF28" s="109">
        <v>0.19108164608848432</v>
      </c>
      <c r="AG28" s="109">
        <v>0.18752223526865963</v>
      </c>
      <c r="AH28" s="109">
        <v>0.20140050317420233</v>
      </c>
    </row>
    <row r="29" spans="1:34" x14ac:dyDescent="0.25">
      <c r="A29" s="106" t="s">
        <v>144</v>
      </c>
      <c r="B29" s="109">
        <f>Calculations!E120</f>
        <v>0.16107867248767471</v>
      </c>
      <c r="C29" s="109">
        <v>0.59022102275914756</v>
      </c>
      <c r="D29" s="109">
        <v>2.3509536491618022E-2</v>
      </c>
      <c r="E29" s="109">
        <v>0.29772399080986522</v>
      </c>
      <c r="F29" s="109">
        <v>1.0354362659566352E-2</v>
      </c>
      <c r="G29" s="109">
        <v>0.12094191860080783</v>
      </c>
      <c r="H29" s="109">
        <v>0.38362451446332591</v>
      </c>
      <c r="I29" s="109">
        <v>1.5519235244131346E-2</v>
      </c>
      <c r="J29" s="109">
        <v>0.25283683427804848</v>
      </c>
      <c r="K29" s="109">
        <v>0.38644883659313356</v>
      </c>
      <c r="L29" s="109">
        <v>0.35133525537904875</v>
      </c>
      <c r="M29" s="109">
        <v>0.40360358905269389</v>
      </c>
      <c r="N29" s="109">
        <v>-7.7818743993673278E-2</v>
      </c>
      <c r="O29" s="109">
        <v>0.91652280128008967</v>
      </c>
      <c r="P29" s="109">
        <v>0.31556983634483005</v>
      </c>
      <c r="Q29" s="109">
        <v>0.16830984341274657</v>
      </c>
      <c r="R29" s="109">
        <v>9.9237316611001436E-2</v>
      </c>
      <c r="S29" s="109">
        <v>0.5354199534621904</v>
      </c>
      <c r="T29" s="109">
        <v>0.40628749560978927</v>
      </c>
      <c r="U29" s="109">
        <v>0.1195801235144589</v>
      </c>
      <c r="V29" s="109">
        <v>0.21325035372964973</v>
      </c>
      <c r="W29" s="109">
        <v>0.16582711366350367</v>
      </c>
      <c r="X29" s="109">
        <v>6.3901936406961513E-2</v>
      </c>
      <c r="Y29" s="109">
        <v>0.80241063106413679</v>
      </c>
      <c r="Z29" s="109">
        <v>0.13604524074780788</v>
      </c>
      <c r="AA29" s="109">
        <v>0.21964371097842217</v>
      </c>
      <c r="AB29" s="109">
        <v>0.28236574730118114</v>
      </c>
      <c r="AC29" s="109">
        <v>0.17778942713407897</v>
      </c>
      <c r="AD29" s="109">
        <v>-0.14851693362422891</v>
      </c>
      <c r="AE29" s="109">
        <v>-0.16490859194491603</v>
      </c>
      <c r="AF29" s="109">
        <v>0.1543366785540552</v>
      </c>
      <c r="AG29" s="109">
        <v>0.16107867248767471</v>
      </c>
      <c r="AH29" s="109">
        <v>0.13509793201382614</v>
      </c>
    </row>
    <row r="30" spans="1:34" x14ac:dyDescent="0.25"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34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</row>
    <row r="32" spans="1:34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</row>
    <row r="38" spans="1:18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</row>
    <row r="39" spans="1:18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</row>
    <row r="40" spans="1:18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</row>
    <row r="41" spans="1:18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</row>
    <row r="42" spans="1:18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</row>
    <row r="43" spans="1:18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</row>
    <row r="44" spans="1:18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</row>
    <row r="45" spans="1:18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</row>
    <row r="46" spans="1:18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</row>
    <row r="47" spans="1:18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49" spans="1:18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</row>
    <row r="50" spans="1:18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x14ac:dyDescent="0.2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</row>
    <row r="52" spans="1:18" x14ac:dyDescent="0.2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</row>
    <row r="53" spans="1:18" x14ac:dyDescent="0.2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x14ac:dyDescent="0.2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8" x14ac:dyDescent="0.2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x14ac:dyDescent="0.2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</row>
    <row r="57" spans="1:18" x14ac:dyDescent="0.2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</row>
    <row r="58" spans="1:18" x14ac:dyDescent="0.2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</row>
    <row r="59" spans="1:18" x14ac:dyDescent="0.2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8" x14ac:dyDescent="0.2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1:18" x14ac:dyDescent="0.2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</row>
  </sheetData>
  <sheetProtection formatColumns="0" formatRows="0"/>
  <mergeCells count="2"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  <headerFooter>
    <oddFooter>&amp;L&amp;F&amp;C&amp;A&amp;R&amp;P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8"/>
  <sheetViews>
    <sheetView showGridLines="0" view="pageBreakPreview" topLeftCell="A13" zoomScaleNormal="100" zoomScaleSheetLayoutView="100" workbookViewId="0"/>
  </sheetViews>
  <sheetFormatPr defaultColWidth="8.85546875" defaultRowHeight="12.75" x14ac:dyDescent="0.2"/>
  <cols>
    <col min="1" max="1" width="2.85546875" style="68" customWidth="1"/>
    <col min="2" max="2" width="18.5703125" style="68" bestFit="1" customWidth="1"/>
    <col min="3" max="5" width="18.85546875" style="68" customWidth="1"/>
    <col min="6" max="6" width="4.28515625" style="68" customWidth="1"/>
    <col min="7" max="16384" width="8.85546875" style="68"/>
  </cols>
  <sheetData>
    <row r="1" spans="2:5" x14ac:dyDescent="0.2">
      <c r="B1" s="75" t="s">
        <v>93</v>
      </c>
    </row>
    <row r="3" spans="2:5" ht="44.45" customHeight="1" x14ac:dyDescent="0.2">
      <c r="B3" s="67"/>
      <c r="C3" s="74" t="s">
        <v>90</v>
      </c>
      <c r="D3" s="74" t="s">
        <v>91</v>
      </c>
      <c r="E3" s="74" t="s">
        <v>92</v>
      </c>
    </row>
    <row r="4" spans="2:5" x14ac:dyDescent="0.2">
      <c r="B4" s="68" t="s">
        <v>12</v>
      </c>
      <c r="C4" s="69">
        <f>INDEX(Output!$C$17:$R$17,,MATCH($B4,Output!$C$7:$R$7,0))*100</f>
        <v>124.08965144976672</v>
      </c>
      <c r="D4" s="69">
        <f>INDEX(Output!$C$18:$R$18,,MATCH($B4,Output!$C$7:$R$7,0))*100</f>
        <v>104.04106411162053</v>
      </c>
      <c r="E4" s="69">
        <f>INDEX(Output!$C$19:$R$19,,MATCH($B4,Output!$C$7:$R$7,0))*100</f>
        <v>0</v>
      </c>
    </row>
    <row r="5" spans="2:5" x14ac:dyDescent="0.2">
      <c r="B5" s="68" t="s">
        <v>13</v>
      </c>
      <c r="C5" s="69">
        <f>INDEX(Output!$C$17:$R$17,,MATCH($B5,Output!$C$7:$R$7,0))*100</f>
        <v>100.90707762714447</v>
      </c>
      <c r="D5" s="69">
        <f>INDEX(Output!$C$18:$R$18,,MATCH($B5,Output!$C$7:$R$7,0))*100</f>
        <v>109.98163938805037</v>
      </c>
      <c r="E5" s="69">
        <f>INDEX(Output!$C$19:$R$19,,MATCH($B5,Output!$C$7:$R$7,0))*100</f>
        <v>0</v>
      </c>
    </row>
    <row r="6" spans="2:5" x14ac:dyDescent="0.2">
      <c r="B6" s="70" t="s">
        <v>14</v>
      </c>
      <c r="C6" s="71">
        <f>INDEX(Output!$C$17:$R$17,,MATCH($B6,Output!$C$7:$R$7,0))*100</f>
        <v>142.6263357408437</v>
      </c>
      <c r="D6" s="71">
        <f>INDEX(Output!$C$18:$R$18,,MATCH($B6,Output!$C$7:$R$7,0))*100</f>
        <v>82.539684737536547</v>
      </c>
      <c r="E6" s="71">
        <f>INDEX(Output!$C$19:$R$19,,MATCH($B6,Output!$C$7:$R$7,0))*100</f>
        <v>0</v>
      </c>
    </row>
    <row r="7" spans="2:5" x14ac:dyDescent="0.2">
      <c r="B7" s="68" t="s">
        <v>166</v>
      </c>
      <c r="C7" s="69">
        <f>INDEX(Output!$C$17:$R$17,,MATCH($B7,Output!$C$7:$R$7,0))*100</f>
        <v>118.96702836816043</v>
      </c>
      <c r="D7" s="69">
        <f>INDEX(Output!$C$18:$R$18,,MATCH($B7,Output!$C$7:$R$7,0))*100</f>
        <v>158.88440152897155</v>
      </c>
      <c r="E7" s="69">
        <f>INDEX(Output!$C$19:$R$19,,MATCH($B7,Output!$C$7:$R$7,0))*100</f>
        <v>0</v>
      </c>
    </row>
    <row r="8" spans="2:5" x14ac:dyDescent="0.2">
      <c r="B8" s="68" t="s">
        <v>17</v>
      </c>
      <c r="C8" s="69">
        <f>INDEX(Output!$C$17:$R$17,,MATCH($B8,Output!$C$7:$R$7,0))*100</f>
        <v>124.28908195502257</v>
      </c>
      <c r="D8" s="69">
        <f>INDEX(Output!$C$18:$R$18,,MATCH($B8,Output!$C$7:$R$7,0))*100</f>
        <v>167.92077656426864</v>
      </c>
      <c r="E8" s="69">
        <f>INDEX(Output!$C$19:$R$19,,MATCH($B8,Output!$C$7:$R$7,0))*100</f>
        <v>0</v>
      </c>
    </row>
    <row r="9" spans="2:5" x14ac:dyDescent="0.2">
      <c r="B9" s="70" t="s">
        <v>18</v>
      </c>
      <c r="C9" s="71">
        <f>INDEX(Output!$C$17:$R$17,,MATCH($B9,Output!$C$7:$R$7,0))*100</f>
        <v>99.521639546086931</v>
      </c>
      <c r="D9" s="71">
        <f>INDEX(Output!$C$18:$R$18,,MATCH($B9,Output!$C$7:$R$7,0))*100</f>
        <v>170.65140873209202</v>
      </c>
      <c r="E9" s="71">
        <f>INDEX(Output!$C$19:$R$19,,MATCH($B9,Output!$C$7:$R$7,0))*100</f>
        <v>0</v>
      </c>
    </row>
    <row r="10" spans="2:5" x14ac:dyDescent="0.2">
      <c r="B10" s="68" t="s">
        <v>19</v>
      </c>
      <c r="C10" s="69">
        <f>INDEX(Output!$C$17:$R$17,,MATCH($B10,Output!$C$7:$R$7,0))*100</f>
        <v>105.10053909203046</v>
      </c>
      <c r="D10" s="69">
        <f>INDEX(Output!$C$18:$R$18,,MATCH($B10,Output!$C$7:$R$7,0))*100</f>
        <v>156.62260288370149</v>
      </c>
      <c r="E10" s="69">
        <f>INDEX(Output!$C$19:$R$19,,MATCH($B10,Output!$C$7:$R$7,0))*100</f>
        <v>0</v>
      </c>
    </row>
    <row r="11" spans="2:5" x14ac:dyDescent="0.2">
      <c r="B11" s="68" t="s">
        <v>21</v>
      </c>
      <c r="C11" s="69">
        <f>INDEX(Output!$C$17:$R$17,,MATCH($B11,Output!$C$7:$R$7,0))*100</f>
        <v>91.010263538291937</v>
      </c>
      <c r="D11" s="69">
        <f>INDEX(Output!$C$18:$R$18,,MATCH($B11,Output!$C$7:$R$7,0))*100</f>
        <v>364.35318845901594</v>
      </c>
      <c r="E11" s="69">
        <f>INDEX(Output!$C$19:$R$19,,MATCH($B11,Output!$C$7:$R$7,0))*100</f>
        <v>0</v>
      </c>
    </row>
    <row r="12" spans="2:5" x14ac:dyDescent="0.2">
      <c r="B12" s="70" t="s">
        <v>22</v>
      </c>
      <c r="C12" s="71">
        <f>INDEX(Output!$C$17:$R$17,,MATCH($B12,Output!$C$7:$R$7,0))*100</f>
        <v>110.5953054839443</v>
      </c>
      <c r="D12" s="71">
        <f>INDEX(Output!$C$18:$R$18,,MATCH($B12,Output!$C$7:$R$7,0))*100</f>
        <v>150.71237509267496</v>
      </c>
      <c r="E12" s="71">
        <f>INDEX(Output!$C$19:$R$19,,MATCH($B12,Output!$C$7:$R$7,0))*100</f>
        <v>0</v>
      </c>
    </row>
    <row r="13" spans="2:5" x14ac:dyDescent="0.2">
      <c r="B13" s="68" t="s">
        <v>26</v>
      </c>
      <c r="C13" s="69">
        <f>INDEX(Output!$C$17:$R$17,,MATCH($B13,Output!$C$7:$R$7,0))*100</f>
        <v>137.56405907544246</v>
      </c>
      <c r="D13" s="69">
        <f>INDEX(Output!$C$18:$R$18,,MATCH($B13,Output!$C$7:$R$7,0))*100</f>
        <v>107.11598973659997</v>
      </c>
      <c r="E13" s="69">
        <f>INDEX(Output!$C$19:$R$19,,MATCH($B13,Output!$C$7:$R$7,0))*100</f>
        <v>0</v>
      </c>
    </row>
    <row r="14" spans="2:5" x14ac:dyDescent="0.2">
      <c r="B14" s="68" t="s">
        <v>27</v>
      </c>
      <c r="C14" s="69">
        <f>INDEX(Output!$C$17:$R$17,,MATCH($B14,Output!$C$7:$R$7,0))*100</f>
        <v>91.362517576936924</v>
      </c>
      <c r="D14" s="69">
        <f>INDEX(Output!$C$18:$R$18,,MATCH($B14,Output!$C$7:$R$7,0))*100</f>
        <v>130.98394653392364</v>
      </c>
      <c r="E14" s="69">
        <f>INDEX(Output!$C$19:$R$19,,MATCH($B14,Output!$C$7:$R$7,0))*100</f>
        <v>0</v>
      </c>
    </row>
    <row r="15" spans="2:5" x14ac:dyDescent="0.2">
      <c r="B15" s="70" t="s">
        <v>29</v>
      </c>
      <c r="C15" s="71">
        <f>INDEX(Output!$C$17:$R$17,,MATCH($B15,Output!$C$7:$R$7,0))*100</f>
        <v>113.88012057034042</v>
      </c>
      <c r="D15" s="71">
        <f>INDEX(Output!$C$18:$R$18,,MATCH($B15,Output!$C$7:$R$7,0))*100</f>
        <v>108.45132173025664</v>
      </c>
      <c r="E15" s="71">
        <f>INDEX(Output!$C$19:$R$19,,MATCH($B15,Output!$C$7:$R$7,0))*100</f>
        <v>0</v>
      </c>
    </row>
    <row r="16" spans="2:5" x14ac:dyDescent="0.2">
      <c r="B16" s="68" t="s">
        <v>31</v>
      </c>
      <c r="C16" s="69">
        <f>INDEX(Output!$C$17:$R$17,,MATCH($B16,Output!$C$7:$R$7,0))*100</f>
        <v>104.8344067128975</v>
      </c>
      <c r="D16" s="69">
        <f>INDEX(Output!$C$18:$R$18,,MATCH($B16,Output!$C$7:$R$7,0))*100</f>
        <v>162.24073987645892</v>
      </c>
      <c r="E16" s="69">
        <f>INDEX(Output!$C$19:$R$19,,MATCH($B16,Output!$C$7:$R$7,0))*100</f>
        <v>0</v>
      </c>
    </row>
    <row r="17" spans="2:5" x14ac:dyDescent="0.2">
      <c r="B17" s="68" t="s">
        <v>165</v>
      </c>
      <c r="C17" s="69">
        <f>INDEX(Output!$C$17:$R$17,,MATCH($B17,Output!$C$7:$R$7,0))*100</f>
        <v>113.82397817874185</v>
      </c>
      <c r="D17" s="69">
        <f>INDEX(Output!$C$18:$R$18,,MATCH($B17,Output!$C$7:$R$7,0))*100</f>
        <v>99.799879900264429</v>
      </c>
      <c r="E17" s="69">
        <f>INDEX(Output!$C$19:$R$19,,MATCH($B17,Output!$C$7:$R$7,0))*100</f>
        <v>0</v>
      </c>
    </row>
    <row r="18" spans="2:5" x14ac:dyDescent="0.2">
      <c r="B18" s="70" t="s">
        <v>167</v>
      </c>
      <c r="C18" s="71">
        <f>INDEX(Output!$C$17:$R$17,,MATCH($B18,Output!$C$7:$R$7,0))*100</f>
        <v>89.305244436334505</v>
      </c>
      <c r="D18" s="71">
        <f>INDEX(Output!$C$18:$R$18,,MATCH($B18,Output!$C$7:$R$7,0))*100</f>
        <v>110.33116008679822</v>
      </c>
      <c r="E18" s="71">
        <f>INDEX(Output!$C$19:$R$19,,MATCH($B18,Output!$C$7:$R$7,0))*100</f>
        <v>0</v>
      </c>
    </row>
    <row r="19" spans="2:5" x14ac:dyDescent="0.2">
      <c r="B19" s="72" t="s">
        <v>33</v>
      </c>
      <c r="C19" s="73">
        <f>INDEX(Output!$C$17:$R$17,,MATCH($B19,Output!$C$7:$R$7,0))*100</f>
        <v>85.214546603202038</v>
      </c>
      <c r="D19" s="73">
        <f>INDEX(Output!$C$18:$R$18,,MATCH($B19,Output!$C$7:$R$7,0))*100</f>
        <v>89.256857382644469</v>
      </c>
      <c r="E19" s="73">
        <f>INDEX(Output!$C$19:$R$19,,MATCH($B19,Output!$C$7:$R$7,0))*100</f>
        <v>0</v>
      </c>
    </row>
    <row r="24" spans="2:5" x14ac:dyDescent="0.2">
      <c r="B24" s="75" t="s">
        <v>151</v>
      </c>
    </row>
    <row r="26" spans="2:5" ht="38.25" x14ac:dyDescent="0.2">
      <c r="B26" s="67"/>
      <c r="C26" s="111" t="s">
        <v>158</v>
      </c>
      <c r="D26" s="111" t="s">
        <v>159</v>
      </c>
      <c r="E26" s="111" t="s">
        <v>160</v>
      </c>
    </row>
    <row r="27" spans="2:5" x14ac:dyDescent="0.2">
      <c r="B27" s="68" t="s">
        <v>12</v>
      </c>
      <c r="C27" s="112">
        <f>INDEX(Output!$C$23:$AH$23,,MATCH($B27,Output!$C$20:$AH$20,0))*100</f>
        <v>29.046201592928167</v>
      </c>
      <c r="D27" s="112">
        <f>INDEX(Output!$C$24:$AH$24,,MATCH($B27,Output!$C$20:$AH$20,0))*100</f>
        <v>59.670393482394466</v>
      </c>
      <c r="E27" s="112">
        <f>INDEX(Output!$C$25:$AH$25,,MATCH($B27,Output!$C$20:$AH$20,0))*100</f>
        <v>46.227491988385474</v>
      </c>
    </row>
    <row r="28" spans="2:5" x14ac:dyDescent="0.2">
      <c r="B28" s="68" t="s">
        <v>13</v>
      </c>
      <c r="C28" s="112">
        <f>INDEX(Output!$C$23:$AH$23,,MATCH($B28,Output!$C$20:$AH$20,0))*100</f>
        <v>13.448372538167487</v>
      </c>
      <c r="D28" s="112">
        <f>INDEX(Output!$C$24:$AH$24,,MATCH($B28,Output!$C$20:$AH$20,0))*100</f>
        <v>2.5139545012709652</v>
      </c>
      <c r="E28" s="112">
        <f>INDEX(Output!$C$25:$AH$25,,MATCH($B28,Output!$C$20:$AH$20,0))*100</f>
        <v>8.0279857675492838</v>
      </c>
    </row>
    <row r="29" spans="2:5" x14ac:dyDescent="0.2">
      <c r="B29" s="70" t="s">
        <v>3</v>
      </c>
      <c r="C29" s="113">
        <f>INDEX(Output!$C$23:$AH$23,,MATCH($B29,Output!$C$20:$AH$20,0))*100</f>
        <v>25.115656928868859</v>
      </c>
      <c r="D29" s="113">
        <f>INDEX(Output!$C$24:$AH$24,,MATCH($B29,Output!$C$20:$AH$20,0))*100</f>
        <v>38.070014874355174</v>
      </c>
      <c r="E29" s="113">
        <f>INDEX(Output!$C$25:$AH$25,,MATCH($B29,Output!$C$20:$AH$20,0))*100</f>
        <v>29.419878991449</v>
      </c>
    </row>
    <row r="30" spans="2:5" x14ac:dyDescent="0.2">
      <c r="B30" s="68" t="s">
        <v>14</v>
      </c>
      <c r="C30" s="112">
        <f>INDEX(Output!$C$23:$AH$23,,MATCH($B30,Output!$C$20:$AH$20,0))*100</f>
        <v>34.872881789683419</v>
      </c>
      <c r="D30" s="112">
        <f>INDEX(Output!$C$24:$AH$24,,MATCH($B30,Output!$C$20:$AH$20,0))*100</f>
        <v>-34.158959604192972</v>
      </c>
      <c r="E30" s="112">
        <f>INDEX(Output!$C$25:$AH$25,,MATCH($B30,Output!$C$20:$AH$20,0))*100</f>
        <v>-6.1693092598802952</v>
      </c>
    </row>
    <row r="31" spans="2:5" x14ac:dyDescent="0.2">
      <c r="B31" s="68" t="s">
        <v>15</v>
      </c>
      <c r="C31" s="112">
        <f>INDEX(Output!$C$23:$AH$23,,MATCH($B31,Output!$C$20:$AH$20,0))*100</f>
        <v>4.6586055520124514</v>
      </c>
      <c r="D31" s="112">
        <f>INDEX(Output!$C$24:$AH$24,,MATCH($B31,Output!$C$20:$AH$20,0))*100</f>
        <v>75.17964951135572</v>
      </c>
      <c r="E31" s="112">
        <f>INDEX(Output!$C$25:$AH$25,,MATCH($B31,Output!$C$20:$AH$20,0))*100</f>
        <v>41.165470507929115</v>
      </c>
    </row>
    <row r="32" spans="2:5" x14ac:dyDescent="0.2">
      <c r="B32" s="70" t="s">
        <v>166</v>
      </c>
      <c r="C32" s="113">
        <f>INDEX(Output!$C$23:$AH$23,,MATCH($B32,Output!$C$20:$AH$20,0))*100</f>
        <v>29.347533745070219</v>
      </c>
      <c r="D32" s="113">
        <f>INDEX(Output!$C$24:$AH$24,,MATCH($B32,Output!$C$20:$AH$20,0))*100</f>
        <v>91.411891957254497</v>
      </c>
      <c r="E32" s="113">
        <f>INDEX(Output!$C$25:$AH$25,,MATCH($B32,Output!$C$20:$AH$20,0))*100</f>
        <v>57.178498511012222</v>
      </c>
    </row>
    <row r="33" spans="2:5" x14ac:dyDescent="0.2">
      <c r="B33" s="68" t="s">
        <v>16</v>
      </c>
      <c r="C33" s="112">
        <f>INDEX(Output!$C$23:$AH$23,,MATCH($B33,Output!$C$20:$AH$20,0))*100</f>
        <v>14.736971165506386</v>
      </c>
      <c r="D33" s="112">
        <f>INDEX(Output!$C$24:$AH$24,,MATCH($B33,Output!$C$20:$AH$20,0))*100</f>
        <v>3.4973151276753933</v>
      </c>
      <c r="E33" s="112">
        <f>INDEX(Output!$C$25:$AH$25,,MATCH($B33,Output!$C$20:$AH$20,0))*100</f>
        <v>9.5151405863209249</v>
      </c>
    </row>
    <row r="34" spans="2:5" x14ac:dyDescent="0.2">
      <c r="B34" s="68" t="s">
        <v>17</v>
      </c>
      <c r="C34" s="112">
        <f>INDEX(Output!$C$23:$AH$23,,MATCH($B34,Output!$C$20:$AH$20,0))*100</f>
        <v>30.387775741224665</v>
      </c>
      <c r="D34" s="112">
        <f>INDEX(Output!$C$24:$AH$24,,MATCH($B34,Output!$C$20:$AH$20,0))*100</f>
        <v>25.204380379628887</v>
      </c>
      <c r="E34" s="112">
        <f>INDEX(Output!$C$25:$AH$25,,MATCH($B34,Output!$C$20:$AH$20,0))*100</f>
        <v>26.772827489740902</v>
      </c>
    </row>
    <row r="35" spans="2:5" x14ac:dyDescent="0.2">
      <c r="B35" s="70" t="s">
        <v>18</v>
      </c>
      <c r="C35" s="113">
        <f>INDEX(Output!$C$23:$AH$23,,MATCH($B35,Output!$C$20:$AH$20,0))*100</f>
        <v>7.9952780278018887</v>
      </c>
      <c r="D35" s="113">
        <f>INDEX(Output!$C$24:$AH$24,,MATCH($B35,Output!$C$20:$AH$20,0))*100</f>
        <v>70.174030970542091</v>
      </c>
      <c r="E35" s="113">
        <f>INDEX(Output!$C$25:$AH$25,,MATCH($B35,Output!$C$20:$AH$20,0))*100</f>
        <v>34.306212455685412</v>
      </c>
    </row>
    <row r="36" spans="2:5" x14ac:dyDescent="0.2">
      <c r="B36" s="68" t="s">
        <v>19</v>
      </c>
      <c r="C36" s="112">
        <f>INDEX(Output!$C$23:$AH$23,,MATCH($B36,Output!$C$20:$AH$20,0))*100</f>
        <v>6.522656654355008</v>
      </c>
      <c r="D36" s="112">
        <f>INDEX(Output!$C$24:$AH$24,,MATCH($B36,Output!$C$20:$AH$20,0))*100</f>
        <v>69.939336148796812</v>
      </c>
      <c r="E36" s="112">
        <f>INDEX(Output!$C$25:$AH$25,,MATCH($B36,Output!$C$20:$AH$20,0))*100</f>
        <v>30.963613815887125</v>
      </c>
    </row>
    <row r="37" spans="2:5" x14ac:dyDescent="0.2">
      <c r="B37" s="68" t="s">
        <v>168</v>
      </c>
      <c r="C37" s="112">
        <f>INDEX(Output!$C$23:$AH$23,,MATCH($B37,Output!$C$20:$AH$20,0))*100</f>
        <v>23.950454478318584</v>
      </c>
      <c r="D37" s="112">
        <f>INDEX(Output!$C$24:$AH$24,,MATCH($B37,Output!$C$20:$AH$20,0))*100</f>
        <v>109.99133119952936</v>
      </c>
      <c r="E37" s="112">
        <f>INDEX(Output!$C$25:$AH$25,,MATCH($B37,Output!$C$20:$AH$20,0))*100</f>
        <v>75.508707390939819</v>
      </c>
    </row>
    <row r="38" spans="2:5" x14ac:dyDescent="0.2">
      <c r="B38" s="70" t="s">
        <v>20</v>
      </c>
      <c r="C38" s="113">
        <f>INDEX(Output!$C$23:$AH$23,,MATCH($B38,Output!$C$20:$AH$20,0))*100</f>
        <v>-22.358772964125151</v>
      </c>
      <c r="D38" s="113">
        <f>INDEX(Output!$C$24:$AH$24,,MATCH($B38,Output!$C$20:$AH$20,0))*100</f>
        <v>-8.3516723074337875</v>
      </c>
      <c r="E38" s="113">
        <f>INDEX(Output!$C$25:$AH$25,,MATCH($B38,Output!$C$20:$AH$20,0))*100</f>
        <v>-15.681218663303076</v>
      </c>
    </row>
    <row r="39" spans="2:5" x14ac:dyDescent="0.2">
      <c r="B39" s="68" t="s">
        <v>21</v>
      </c>
      <c r="C39" s="112">
        <f>INDEX(Output!$C$23:$AH$23,,MATCH($B39,Output!$C$20:$AH$20,0))*100</f>
        <v>8.5108585932925251</v>
      </c>
      <c r="D39" s="112">
        <f>INDEX(Output!$C$24:$AH$24,,MATCH($B39,Output!$C$20:$AH$20,0))*100</f>
        <v>345.42350535163189</v>
      </c>
      <c r="E39" s="112">
        <f>INDEX(Output!$C$25:$AH$25,,MATCH($B39,Output!$C$20:$AH$20,0))*100</f>
        <v>146.34735949215982</v>
      </c>
    </row>
    <row r="40" spans="2:5" x14ac:dyDescent="0.2">
      <c r="B40" s="68" t="s">
        <v>22</v>
      </c>
      <c r="C40" s="112">
        <f>INDEX(Output!$C$23:$AH$23,,MATCH($B40,Output!$C$20:$AH$20,0))*100</f>
        <v>9.0679530148082055</v>
      </c>
      <c r="D40" s="112">
        <f>INDEX(Output!$C$24:$AH$24,,MATCH($B40,Output!$C$20:$AH$20,0))*100</f>
        <v>96.155539313774938</v>
      </c>
      <c r="E40" s="112">
        <f>INDEX(Output!$C$25:$AH$25,,MATCH($B40,Output!$C$20:$AH$20,0))*100</f>
        <v>40.618080020032664</v>
      </c>
    </row>
    <row r="41" spans="2:5" x14ac:dyDescent="0.2">
      <c r="B41" s="70" t="s">
        <v>23</v>
      </c>
      <c r="C41" s="113">
        <f>INDEX(Output!$C$23:$AH$23,,MATCH($B41,Output!$C$20:$AH$20,0))*100</f>
        <v>23.083485451960041</v>
      </c>
      <c r="D41" s="113">
        <f>INDEX(Output!$C$24:$AH$24,,MATCH($B41,Output!$C$20:$AH$20,0))*100</f>
        <v>42.544592243949573</v>
      </c>
      <c r="E41" s="113">
        <f>INDEX(Output!$C$25:$AH$25,,MATCH($B41,Output!$C$20:$AH$20,0))*100</f>
        <v>34.511827049904923</v>
      </c>
    </row>
    <row r="42" spans="2:5" x14ac:dyDescent="0.2">
      <c r="B42" s="68" t="s">
        <v>24</v>
      </c>
      <c r="C42" s="112">
        <f>INDEX(Output!$C$23:$AH$23,,MATCH($B42,Output!$C$20:$AH$20,0))*100</f>
        <v>-2.3148134545038279</v>
      </c>
      <c r="D42" s="112">
        <f>INDEX(Output!$C$24:$AH$24,,MATCH($B42,Output!$C$20:$AH$20,0))*100</f>
        <v>47.358204613319984</v>
      </c>
      <c r="E42" s="112">
        <f>INDEX(Output!$C$25:$AH$25,,MATCH($B42,Output!$C$20:$AH$20,0))*100</f>
        <v>15.950647168062627</v>
      </c>
    </row>
    <row r="43" spans="2:5" x14ac:dyDescent="0.2">
      <c r="B43" s="68" t="s">
        <v>25</v>
      </c>
      <c r="C43" s="112">
        <f>INDEX(Output!$C$23:$AH$23,,MATCH($B43,Output!$C$20:$AH$20,0))*100</f>
        <v>13.065027604569179</v>
      </c>
      <c r="D43" s="112">
        <f>INDEX(Output!$C$24:$AH$24,,MATCH($B43,Output!$C$20:$AH$20,0))*100</f>
        <v>73.62039393048218</v>
      </c>
      <c r="E43" s="112">
        <f>INDEX(Output!$C$25:$AH$25,,MATCH($B43,Output!$C$20:$AH$20,0))*100</f>
        <v>42.642544664568845</v>
      </c>
    </row>
    <row r="44" spans="2:5" x14ac:dyDescent="0.2">
      <c r="B44" s="70" t="s">
        <v>26</v>
      </c>
      <c r="C44" s="113">
        <f>INDEX(Output!$C$23:$AH$23,,MATCH($B44,Output!$C$20:$AH$20,0))*100</f>
        <v>35.495740053923441</v>
      </c>
      <c r="D44" s="113">
        <f>INDEX(Output!$C$24:$AH$24,,MATCH($B44,Output!$C$20:$AH$20,0))*100</f>
        <v>39.797740843169493</v>
      </c>
      <c r="E44" s="113">
        <f>INDEX(Output!$C$25:$AH$25,,MATCH($B44,Output!$C$20:$AH$20,0))*100</f>
        <v>38.032236813125017</v>
      </c>
    </row>
    <row r="45" spans="2:5" x14ac:dyDescent="0.2">
      <c r="B45" s="68" t="s">
        <v>27</v>
      </c>
      <c r="C45" s="112">
        <f>INDEX(Output!$C$23:$AH$23,,MATCH($B45,Output!$C$20:$AH$20,0))*100</f>
        <v>7.7598265734194483</v>
      </c>
      <c r="D45" s="112">
        <f>INDEX(Output!$C$24:$AH$24,,MATCH($B45,Output!$C$20:$AH$20,0))*100</f>
        <v>25.497410023117762</v>
      </c>
      <c r="E45" s="112">
        <f>INDEX(Output!$C$25:$AH$25,,MATCH($B45,Output!$C$20:$AH$20,0))*100</f>
        <v>17.999683144231614</v>
      </c>
    </row>
    <row r="46" spans="2:5" x14ac:dyDescent="0.2">
      <c r="B46" s="68" t="s">
        <v>28</v>
      </c>
      <c r="C46" s="112">
        <f>INDEX(Output!$C$23:$AH$23,,MATCH($B46,Output!$C$20:$AH$20,0))*100</f>
        <v>7.0653130024762367</v>
      </c>
      <c r="D46" s="112">
        <f>INDEX(Output!$C$24:$AH$24,,MATCH($B46,Output!$C$20:$AH$20,0))*100</f>
        <v>82.757522980719571</v>
      </c>
      <c r="E46" s="112">
        <f>INDEX(Output!$C$25:$AH$25,,MATCH($B46,Output!$C$20:$AH$20,0))*100</f>
        <v>34.775175520766851</v>
      </c>
    </row>
    <row r="47" spans="2:5" x14ac:dyDescent="0.2">
      <c r="B47" s="70" t="s">
        <v>29</v>
      </c>
      <c r="C47" s="113">
        <f>INDEX(Output!$C$23:$AH$23,,MATCH($B47,Output!$C$20:$AH$20,0))*100</f>
        <v>39.780186821643035</v>
      </c>
      <c r="D47" s="113">
        <f>INDEX(Output!$C$24:$AH$24,,MATCH($B47,Output!$C$20:$AH$20,0))*100</f>
        <v>11.277323029744114</v>
      </c>
      <c r="E47" s="113">
        <f>INDEX(Output!$C$25:$AH$25,,MATCH($B47,Output!$C$20:$AH$20,0))*100</f>
        <v>24.580417709998727</v>
      </c>
    </row>
    <row r="48" spans="2:5" x14ac:dyDescent="0.2">
      <c r="B48" s="68" t="s">
        <v>30</v>
      </c>
      <c r="C48" s="112">
        <f>INDEX(Output!$C$23:$AH$23,,MATCH($B48,Output!$C$20:$AH$20,0))*100</f>
        <v>20.203193471806237</v>
      </c>
      <c r="D48" s="112">
        <f>INDEX(Output!$C$24:$AH$24,,MATCH($B48,Output!$C$20:$AH$20,0))*100</f>
        <v>28.912201128301529</v>
      </c>
      <c r="E48" s="112">
        <f>INDEX(Output!$C$25:$AH$25,,MATCH($B48,Output!$C$20:$AH$20,0))*100</f>
        <v>25.492555794008332</v>
      </c>
    </row>
    <row r="49" spans="2:5" x14ac:dyDescent="0.2">
      <c r="B49" s="68" t="s">
        <v>31</v>
      </c>
      <c r="C49" s="112">
        <f>INDEX(Output!$C$23:$AH$23,,MATCH($B49,Output!$C$20:$AH$20,0))*100</f>
        <v>5.5900157116412608</v>
      </c>
      <c r="D49" s="112">
        <f>INDEX(Output!$C$24:$AH$24,,MATCH($B49,Output!$C$20:$AH$20,0))*100</f>
        <v>103.28695762809912</v>
      </c>
      <c r="E49" s="112">
        <f>INDEX(Output!$C$25:$AH$25,,MATCH($B49,Output!$C$20:$AH$20,0))*100</f>
        <v>54.79512218095104</v>
      </c>
    </row>
    <row r="50" spans="2:5" x14ac:dyDescent="0.2">
      <c r="B50" s="70" t="s">
        <v>165</v>
      </c>
      <c r="C50" s="113">
        <f>INDEX(Output!$C$23:$AH$23,,MATCH($B50,Output!$C$20:$AH$20,0))*100</f>
        <v>27.453156880651175</v>
      </c>
      <c r="D50" s="113">
        <f>INDEX(Output!$C$24:$AH$24,,MATCH($B50,Output!$C$20:$AH$20,0))*100</f>
        <v>10.829479922586248</v>
      </c>
      <c r="E50" s="113">
        <f>INDEX(Output!$C$25:$AH$25,,MATCH($B50,Output!$C$20:$AH$20,0))*100</f>
        <v>18.008874975441902</v>
      </c>
    </row>
    <row r="51" spans="2:5" x14ac:dyDescent="0.2">
      <c r="B51" s="68" t="s">
        <v>167</v>
      </c>
      <c r="C51" s="112">
        <f>INDEX(Output!$C$23:$AH$23,,MATCH($B51,Output!$C$20:$AH$20,0))*100</f>
        <v>15.116302809212613</v>
      </c>
      <c r="D51" s="112">
        <f>INDEX(Output!$C$24:$AH$24,,MATCH($B51,Output!$C$20:$AH$20,0))*100</f>
        <v>17.827738541378977</v>
      </c>
      <c r="E51" s="112">
        <f>INDEX(Output!$C$25:$AH$25,,MATCH($B51,Output!$C$20:$AH$20,0))*100</f>
        <v>16.701828835474064</v>
      </c>
    </row>
    <row r="52" spans="2:5" x14ac:dyDescent="0.2">
      <c r="B52" s="68" t="s">
        <v>32</v>
      </c>
      <c r="C52" s="112">
        <f>INDEX(Output!$C$23:$AH$23,,MATCH($B52,Output!$C$20:$AH$20,0))*100</f>
        <v>8.5523689228857549</v>
      </c>
      <c r="D52" s="112">
        <f>INDEX(Output!$C$24:$AH$24,,MATCH($B52,Output!$C$20:$AH$20,0))*100</f>
        <v>30.14047193656879</v>
      </c>
      <c r="E52" s="112">
        <f>INDEX(Output!$C$25:$AH$25,,MATCH($B52,Output!$C$20:$AH$20,0))*100</f>
        <v>23.454597332153206</v>
      </c>
    </row>
    <row r="53" spans="2:5" x14ac:dyDescent="0.2">
      <c r="B53" s="70" t="s">
        <v>164</v>
      </c>
      <c r="C53" s="113">
        <f>INDEX(Output!$C$23:$AH$23,,MATCH($B53,Output!$C$20:$AH$20,0))*100</f>
        <v>-2.2034303221174278</v>
      </c>
      <c r="D53" s="113">
        <f>INDEX(Output!$C$24:$AH$24,,MATCH($B53,Output!$C$20:$AH$20,0))*100</f>
        <v>44.06091189058867</v>
      </c>
      <c r="E53" s="113">
        <f>INDEX(Output!$C$25:$AH$25,,MATCH($B53,Output!$C$20:$AH$20,0))*100</f>
        <v>20.573842081973815</v>
      </c>
    </row>
    <row r="54" spans="2:5" x14ac:dyDescent="0.2">
      <c r="B54" s="68" t="s">
        <v>33</v>
      </c>
      <c r="C54" s="112">
        <f>INDEX(Output!$C$23:$AH$23,,MATCH($B54,Output!$C$20:$AH$20,0))*100</f>
        <v>-6.9076725131581469</v>
      </c>
      <c r="D54" s="112">
        <f>INDEX(Output!$C$24:$AH$24,,MATCH($B54,Output!$C$20:$AH$20,0))*100</f>
        <v>3.5878454241121238</v>
      </c>
      <c r="E54" s="112">
        <f>INDEX(Output!$C$25:$AH$25,,MATCH($B54,Output!$C$20:$AH$20,0))*100</f>
        <v>-1.8229764432429518</v>
      </c>
    </row>
    <row r="55" spans="2:5" x14ac:dyDescent="0.2">
      <c r="B55" s="68" t="s">
        <v>34</v>
      </c>
      <c r="C55" s="112">
        <f>INDEX(Output!$C$23:$AH$23,,MATCH($B55,Output!$C$20:$AH$20,0))*100</f>
        <v>9.3159735418259171</v>
      </c>
      <c r="D55" s="112">
        <f>INDEX(Output!$C$24:$AH$24,,MATCH($B55,Output!$C$20:$AH$20,0))*100</f>
        <v>-47.823111174818486</v>
      </c>
      <c r="E55" s="112">
        <f>INDEX(Output!$C$25:$AH$25,,MATCH($B55,Output!$C$20:$AH$20,0))*100</f>
        <v>-15.142170587922033</v>
      </c>
    </row>
    <row r="56" spans="2:5" x14ac:dyDescent="0.2">
      <c r="B56" s="118" t="s">
        <v>139</v>
      </c>
      <c r="C56" s="119">
        <f>INDEX(Output!$C$23:$AH$23,,MATCH($B56,Output!$C$20:$AH$20,0))*100</f>
        <v>14.337012444328433</v>
      </c>
      <c r="D56" s="119">
        <f>INDEX(Output!$C$24:$AH$24,,MATCH($B56,Output!$C$20:$AH$20,0))*100</f>
        <v>23.947097190756384</v>
      </c>
      <c r="E56" s="119">
        <f>INDEX(Output!$C$25:$AH$25,,MATCH($B56,Output!$C$20:$AH$20,0))*100</f>
        <v>19.702194337912339</v>
      </c>
    </row>
    <row r="57" spans="2:5" x14ac:dyDescent="0.2">
      <c r="B57" s="120" t="s">
        <v>162</v>
      </c>
      <c r="C57" s="121">
        <f>INDEX(Output!$C$23:$AH$23,,MATCH($B57,Output!$C$20:$AH$20,0))*100</f>
        <v>5.6387807535308809</v>
      </c>
      <c r="D57" s="121">
        <f>INDEX(Output!$C$24:$AH$24,,MATCH($B57,Output!$C$20:$AH$20,0))*100</f>
        <v>35.977458095447389</v>
      </c>
      <c r="E57" s="121">
        <f>INDEX(Output!$C$25:$AH$25,,MATCH($B57,Output!$C$20:$AH$20,0))*100</f>
        <v>22.154180090211305</v>
      </c>
    </row>
    <row r="58" spans="2:5" x14ac:dyDescent="0.2">
      <c r="B58" s="72" t="s">
        <v>141</v>
      </c>
      <c r="C58" s="122">
        <f>INDEX(Output!$C$23:$AH$23,,MATCH($B58,Output!$C$20:$AH$20,0))*100</f>
        <v>12.067037167748884</v>
      </c>
      <c r="D58" s="122">
        <f>INDEX(Output!$C$24:$AH$24,,MATCH($B58,Output!$C$20:$AH$20,0))*100</f>
        <v>26.95785958930643</v>
      </c>
      <c r="E58" s="122">
        <f>INDEX(Output!$C$25:$AH$25,,MATCH($B58,Output!$C$20:$AH$20,0))*100</f>
        <v>20.327525966954752</v>
      </c>
    </row>
  </sheetData>
  <pageMargins left="0.7" right="0.7" top="0.75" bottom="0.75" header="0.3" footer="0.3"/>
  <pageSetup paperSize="9"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fitToPage="1"/>
  </sheetPr>
  <dimension ref="A1:AM59"/>
  <sheetViews>
    <sheetView showGridLines="0" view="pageBreakPreview" zoomScaleNormal="100" zoomScaleSheetLayoutView="100" workbookViewId="0"/>
  </sheetViews>
  <sheetFormatPr defaultRowHeight="15" x14ac:dyDescent="0.25"/>
  <cols>
    <col min="1" max="1" width="2.85546875" customWidth="1"/>
    <col min="2" max="2" width="5" customWidth="1"/>
    <col min="3" max="3" width="20" customWidth="1"/>
    <col min="4" max="4" width="8.5703125" customWidth="1"/>
    <col min="5" max="5" width="5" customWidth="1"/>
    <col min="6" max="6" width="20" customWidth="1"/>
    <col min="7" max="7" width="11.140625" customWidth="1"/>
    <col min="8" max="9" width="11.140625" style="1" customWidth="1"/>
    <col min="10" max="10" width="4.140625" customWidth="1"/>
    <col min="11" max="11" width="5" customWidth="1"/>
    <col min="12" max="12" width="20" customWidth="1"/>
    <col min="13" max="13" width="8.5703125" customWidth="1"/>
    <col min="14" max="14" width="5" customWidth="1"/>
    <col min="15" max="15" width="20" customWidth="1"/>
    <col min="16" max="16" width="11.140625" customWidth="1"/>
    <col min="17" max="18" width="11.140625" style="1" customWidth="1"/>
    <col min="19" max="19" width="4.140625" customWidth="1"/>
    <col min="20" max="20" width="5" customWidth="1"/>
    <col min="21" max="21" width="20" customWidth="1"/>
    <col min="22" max="22" width="8.5703125" customWidth="1"/>
    <col min="23" max="23" width="5" customWidth="1"/>
    <col min="24" max="24" width="20" customWidth="1"/>
    <col min="25" max="25" width="8.5703125" customWidth="1"/>
    <col min="26" max="26" width="4.140625" customWidth="1"/>
    <col min="27" max="27" width="5" customWidth="1"/>
    <col min="28" max="28" width="20" customWidth="1"/>
    <col min="29" max="29" width="8.5703125" customWidth="1"/>
    <col min="30" max="30" width="5" customWidth="1"/>
    <col min="31" max="31" width="20" customWidth="1"/>
    <col min="32" max="32" width="8.5703125" customWidth="1"/>
    <col min="33" max="33" width="4.140625" customWidth="1"/>
    <col min="34" max="34" width="5" customWidth="1"/>
    <col min="35" max="35" width="20" customWidth="1"/>
    <col min="36" max="36" width="8.5703125" customWidth="1"/>
    <col min="37" max="37" width="5" customWidth="1"/>
    <col min="38" max="38" width="20" customWidth="1"/>
    <col min="39" max="39" width="8.5703125" customWidth="1"/>
    <col min="40" max="40" width="4.140625" customWidth="1"/>
  </cols>
  <sheetData>
    <row r="1" spans="1:26" ht="26.25" x14ac:dyDescent="0.25">
      <c r="A1" s="50" t="s">
        <v>163</v>
      </c>
      <c r="B1" s="50"/>
      <c r="C1" s="50"/>
      <c r="D1" s="50"/>
      <c r="E1" s="50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x14ac:dyDescent="0.25">
      <c r="A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18.75" x14ac:dyDescent="0.3">
      <c r="A3" s="42" t="s">
        <v>172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s="141" customFormat="1" ht="38.25" x14ac:dyDescent="0.2">
      <c r="C4" s="141" t="s">
        <v>134</v>
      </c>
      <c r="F4" s="141" t="s">
        <v>134</v>
      </c>
      <c r="G4" s="141" t="s">
        <v>181</v>
      </c>
      <c r="H4" s="141" t="s">
        <v>182</v>
      </c>
      <c r="I4" s="141" t="s">
        <v>183</v>
      </c>
      <c r="L4" s="141" t="s">
        <v>153</v>
      </c>
      <c r="O4" s="141" t="s">
        <v>153</v>
      </c>
      <c r="P4" s="141" t="s">
        <v>181</v>
      </c>
      <c r="Q4" s="141" t="s">
        <v>182</v>
      </c>
      <c r="R4" s="141" t="s">
        <v>183</v>
      </c>
    </row>
    <row r="5" spans="1:26" x14ac:dyDescent="0.25">
      <c r="A5" s="68"/>
      <c r="B5" s="95">
        <f t="shared" ref="B5:B33" si="0">RANK(D5,D$5:D$34,0)</f>
        <v>6</v>
      </c>
      <c r="C5" s="95" t="s">
        <v>12</v>
      </c>
      <c r="D5" s="140">
        <f>INDEX(Output!$A$20:$AH$29,MATCH(C$4,Output!$A$20:$A$29,0),MATCH($C5,Output!$A$20:$AH$20,0))*100</f>
        <v>29.046201592928167</v>
      </c>
      <c r="E5" s="95">
        <v>1</v>
      </c>
      <c r="F5" s="95" t="str">
        <f t="shared" ref="F5:F33" si="1">VLOOKUP(E5,B$5:C$34,2,FALSE)</f>
        <v>The Lines Company</v>
      </c>
      <c r="G5" s="140">
        <f>IF(VLOOKUP(F5,$U$5:$V$33,2,FALSE)="DPP",INDEX(Output!$A$20:$AH$29,MATCH(F$4,Output!$A$20:$A$29,0),MATCH(F5,Output!$A$20:$AH$20,0))*100,"")</f>
        <v>39.780186821643035</v>
      </c>
      <c r="H5" s="140" t="str">
        <f>IF(VLOOKUP(F5,$U$5:$V$33,2,FALSE)="ID",INDEX(Output!$A$20:$AH$29,MATCH(F$4,Output!$A$20:$A$29,0),MATCH(F5,Output!$A$20:$AH$20,0))*100,"")</f>
        <v/>
      </c>
      <c r="I5" s="140" t="str">
        <f>IF(VLOOKUP(F5,$U$5:$V$33,2,FALSE)="CPP",INDEX(Output!$A$20:$AH$29,MATCH(F$4,Output!$A$20:$A$29,0),MATCH(F5,Output!$A$20:$AH$20,0))*100,"")</f>
        <v/>
      </c>
      <c r="J5" s="112"/>
      <c r="K5" s="95">
        <f>RANK(M5,M$5:M$34,0)</f>
        <v>11</v>
      </c>
      <c r="L5" s="95" t="s">
        <v>12</v>
      </c>
      <c r="M5" s="140">
        <f>INDEX(Output!$A$20:$AH$29,MATCH(L$4,Output!$A$20:$A$29,0),MATCH($C5,Output!$A$20:$AH$20,0))*100</f>
        <v>59.670393482394466</v>
      </c>
      <c r="N5" s="95">
        <v>1</v>
      </c>
      <c r="O5" s="95" t="str">
        <f>VLOOKUP(N5,K$5:L$34,2,FALSE)</f>
        <v>Nelson Electricity</v>
      </c>
      <c r="P5" s="140">
        <f>IF(VLOOKUP(O5,$U$5:$V$33,2,FALSE)="DPP",INDEX(Output!$A$20:$AH$29,MATCH(O$4,Output!$A$20:$A$29,0),MATCH(O5,Output!$A$20:$AH$20,0))*100,"")</f>
        <v>345.42350535163189</v>
      </c>
      <c r="Q5" s="140" t="str">
        <f>IF(VLOOKUP(O5,$U$5:$V$33,2,FALSE)="ID",INDEX(Output!$A$20:$AH$29,MATCH(O$4,Output!$A$20:$A$29,0),MATCH(O5,Output!$A$20:$AH$20,0))*100,"")</f>
        <v/>
      </c>
      <c r="R5" s="140" t="str">
        <f>IF(VLOOKUP(O5,$U$5:$V$33,2,FALSE)="CPP",INDEX(Output!$A$20:$AH$29,MATCH(O$4,Output!$A$20:$A$29,0),MATCH(O5,Output!$A$20:$AH$20,0))*100,"")</f>
        <v/>
      </c>
      <c r="S5" s="68"/>
      <c r="T5" s="68"/>
      <c r="U5" s="135" t="s">
        <v>12</v>
      </c>
      <c r="V5" s="78" t="s">
        <v>178</v>
      </c>
      <c r="W5" s="68"/>
      <c r="Z5" s="68"/>
    </row>
    <row r="6" spans="1:26" x14ac:dyDescent="0.25">
      <c r="A6" s="68"/>
      <c r="B6" s="95">
        <f t="shared" si="0"/>
        <v>14</v>
      </c>
      <c r="C6" s="95" t="s">
        <v>13</v>
      </c>
      <c r="D6" s="140">
        <f>INDEX(Output!$A$20:$AH$29,MATCH(C$4,Output!$A$20:$A$29,0),MATCH($C6,Output!$A$20:$AH$20,0))*100</f>
        <v>13.448372538167487</v>
      </c>
      <c r="E6" s="95">
        <v>2</v>
      </c>
      <c r="F6" s="95" t="str">
        <f t="shared" si="1"/>
        <v>OtagoNet</v>
      </c>
      <c r="G6" s="140">
        <f>IF(VLOOKUP(F6,$U$5:$V$33,2,FALSE)="DPP",INDEX(Output!$A$20:$AH$29,MATCH(F$4,Output!$A$20:$A$29,0),MATCH(F6,Output!$A$20:$AH$20,0))*100,"")</f>
        <v>35.495740053923441</v>
      </c>
      <c r="H6" s="140" t="str">
        <f>IF(VLOOKUP(F6,$U$5:$V$33,2,FALSE)="ID",INDEX(Output!$A$20:$AH$29,MATCH(F$4,Output!$A$20:$A$29,0),MATCH(F6,Output!$A$20:$AH$20,0))*100,"")</f>
        <v/>
      </c>
      <c r="I6" s="140" t="str">
        <f>IF(VLOOKUP(F6,$U$5:$V$33,2,FALSE)="CPP",INDEX(Output!$A$20:$AH$29,MATCH(F$4,Output!$A$20:$A$29,0),MATCH(F6,Output!$A$20:$AH$20,0))*100,"")</f>
        <v/>
      </c>
      <c r="J6" s="112"/>
      <c r="K6" s="95">
        <f t="shared" ref="K6:K33" si="2">RANK(M6,M$5:M$34,0)</f>
        <v>26</v>
      </c>
      <c r="L6" s="95" t="s">
        <v>13</v>
      </c>
      <c r="M6" s="140">
        <f>INDEX(Output!$A$20:$AH$29,MATCH(L$4,Output!$A$20:$A$29,0),MATCH($C6,Output!$A$20:$AH$20,0))*100</f>
        <v>2.5139545012709652</v>
      </c>
      <c r="N6" s="95">
        <v>2</v>
      </c>
      <c r="O6" s="95" t="str">
        <f t="shared" ref="O6:O33" si="3">VLOOKUP(N6,K$5:L$34,2,FALSE)</f>
        <v>MainPower NZ</v>
      </c>
      <c r="P6" s="140" t="str">
        <f>IF(VLOOKUP(O6,$U$5:$V$33,2,FALSE)="DPP",INDEX(Output!$A$20:$AH$29,MATCH(O$4,Output!$A$20:$A$29,0),MATCH(O6,Output!$A$20:$AH$20,0))*100,"")</f>
        <v/>
      </c>
      <c r="Q6" s="140">
        <f>IF(VLOOKUP(O6,$U$5:$V$33,2,FALSE)="ID",INDEX(Output!$A$20:$AH$29,MATCH(O$4,Output!$A$20:$A$29,0),MATCH(O6,Output!$A$20:$AH$20,0))*100,"")</f>
        <v>109.99133119952936</v>
      </c>
      <c r="R6" s="140" t="str">
        <f>IF(VLOOKUP(O6,$U$5:$V$33,2,FALSE)="CPP",INDEX(Output!$A$20:$AH$29,MATCH(O$4,Output!$A$20:$A$29,0),MATCH(O6,Output!$A$20:$AH$20,0))*100,"")</f>
        <v/>
      </c>
      <c r="S6" s="68"/>
      <c r="T6" s="68"/>
      <c r="U6" s="135" t="s">
        <v>13</v>
      </c>
      <c r="V6" s="78" t="s">
        <v>178</v>
      </c>
      <c r="W6" s="68"/>
      <c r="Z6" s="68"/>
    </row>
    <row r="7" spans="1:26" x14ac:dyDescent="0.25">
      <c r="A7" s="68"/>
      <c r="B7" s="95">
        <f t="shared" si="0"/>
        <v>8</v>
      </c>
      <c r="C7" s="95" t="s">
        <v>3</v>
      </c>
      <c r="D7" s="140">
        <f>INDEX(Output!$A$20:$AH$29,MATCH(C$4,Output!$A$20:$A$29,0),MATCH($C7,Output!$A$20:$AH$20,0))*100</f>
        <v>25.115656928868859</v>
      </c>
      <c r="E7" s="95">
        <v>3</v>
      </c>
      <c r="F7" s="95" t="str">
        <f t="shared" si="1"/>
        <v>Centralines</v>
      </c>
      <c r="G7" s="140">
        <f>IF(VLOOKUP(F7,$U$5:$V$33,2,FALSE)="DPP",INDEX(Output!$A$20:$AH$29,MATCH(F$4,Output!$A$20:$A$29,0),MATCH(F7,Output!$A$20:$AH$20,0))*100,"")</f>
        <v>34.872881789683419</v>
      </c>
      <c r="H7" s="140" t="str">
        <f>IF(VLOOKUP(F7,$U$5:$V$33,2,FALSE)="ID",INDEX(Output!$A$20:$AH$29,MATCH(F$4,Output!$A$20:$A$29,0),MATCH(F7,Output!$A$20:$AH$20,0))*100,"")</f>
        <v/>
      </c>
      <c r="I7" s="140" t="str">
        <f>IF(VLOOKUP(F7,$U$5:$V$33,2,FALSE)="CPP",INDEX(Output!$A$20:$AH$29,MATCH(F$4,Output!$A$20:$A$29,0),MATCH(F7,Output!$A$20:$AH$20,0))*100,"")</f>
        <v/>
      </c>
      <c r="J7" s="112"/>
      <c r="K7" s="95">
        <f t="shared" si="2"/>
        <v>16</v>
      </c>
      <c r="L7" s="95" t="s">
        <v>3</v>
      </c>
      <c r="M7" s="140">
        <f>INDEX(Output!$A$20:$AH$29,MATCH(L$4,Output!$A$20:$A$29,0),MATCH($C7,Output!$A$20:$AH$20,0))*100</f>
        <v>38.070014874355174</v>
      </c>
      <c r="N7" s="95">
        <v>3</v>
      </c>
      <c r="O7" s="95" t="str">
        <f t="shared" si="3"/>
        <v>Top Energy</v>
      </c>
      <c r="P7" s="140">
        <f>IF(VLOOKUP(O7,$U$5:$V$33,2,FALSE)="DPP",INDEX(Output!$A$20:$AH$29,MATCH(O$4,Output!$A$20:$A$29,0),MATCH(O7,Output!$A$20:$AH$20,0))*100,"")</f>
        <v>103.28695762809912</v>
      </c>
      <c r="Q7" s="140" t="str">
        <f>IF(VLOOKUP(O7,$U$5:$V$33,2,FALSE)="ID",INDEX(Output!$A$20:$AH$29,MATCH(O$4,Output!$A$20:$A$29,0),MATCH(O7,Output!$A$20:$AH$20,0))*100,"")</f>
        <v/>
      </c>
      <c r="R7" s="140" t="str">
        <f>IF(VLOOKUP(O7,$U$5:$V$33,2,FALSE)="CPP",INDEX(Output!$A$20:$AH$29,MATCH(O$4,Output!$A$20:$A$29,0),MATCH(O7,Output!$A$20:$AH$20,0))*100,"")</f>
        <v/>
      </c>
      <c r="S7" s="68"/>
      <c r="T7" s="68"/>
      <c r="U7" s="135" t="s">
        <v>3</v>
      </c>
      <c r="V7" s="78" t="s">
        <v>179</v>
      </c>
      <c r="W7" s="68"/>
      <c r="Z7" s="68"/>
    </row>
    <row r="8" spans="1:26" x14ac:dyDescent="0.25">
      <c r="A8" s="68"/>
      <c r="B8" s="95">
        <f t="shared" si="0"/>
        <v>3</v>
      </c>
      <c r="C8" s="95" t="s">
        <v>14</v>
      </c>
      <c r="D8" s="140">
        <f>INDEX(Output!$A$20:$AH$29,MATCH(C$4,Output!$A$20:$A$29,0),MATCH($C8,Output!$A$20:$AH$20,0))*100</f>
        <v>34.872881789683419</v>
      </c>
      <c r="E8" s="95">
        <v>4</v>
      </c>
      <c r="F8" s="95" t="str">
        <f t="shared" si="1"/>
        <v>Electricity Ashburton</v>
      </c>
      <c r="G8" s="140">
        <f>IF(VLOOKUP(F8,$U$5:$V$33,2,FALSE)="DPP",INDEX(Output!$A$20:$AH$29,MATCH(F$4,Output!$A$20:$A$29,0),MATCH(F8,Output!$A$20:$AH$20,0))*100,"")</f>
        <v>30.387775741224665</v>
      </c>
      <c r="H8" s="140" t="str">
        <f>IF(VLOOKUP(F8,$U$5:$V$33,2,FALSE)="ID",INDEX(Output!$A$20:$AH$29,MATCH(F$4,Output!$A$20:$A$29,0),MATCH(F8,Output!$A$20:$AH$20,0))*100,"")</f>
        <v/>
      </c>
      <c r="I8" s="140" t="str">
        <f>IF(VLOOKUP(F8,$U$5:$V$33,2,FALSE)="CPP",INDEX(Output!$A$20:$AH$29,MATCH(F$4,Output!$A$20:$A$29,0),MATCH(F8,Output!$A$20:$AH$20,0))*100,"")</f>
        <v/>
      </c>
      <c r="J8" s="112"/>
      <c r="K8" s="95">
        <f t="shared" si="2"/>
        <v>28</v>
      </c>
      <c r="L8" s="95" t="s">
        <v>14</v>
      </c>
      <c r="M8" s="140">
        <f>INDEX(Output!$A$20:$AH$29,MATCH(L$4,Output!$A$20:$A$29,0),MATCH($C8,Output!$A$20:$AH$20,0))*100</f>
        <v>-34.158959604192972</v>
      </c>
      <c r="N8" s="95">
        <v>4</v>
      </c>
      <c r="O8" s="95" t="str">
        <f t="shared" si="3"/>
        <v>Network Tasman</v>
      </c>
      <c r="P8" s="140">
        <f>IF(VLOOKUP(O8,$U$5:$V$33,2,FALSE)="DPP",INDEX(Output!$A$20:$AH$29,MATCH(O$4,Output!$A$20:$A$29,0),MATCH(O8,Output!$A$20:$AH$20,0))*100,"")</f>
        <v>96.155539313774938</v>
      </c>
      <c r="Q8" s="140" t="str">
        <f>IF(VLOOKUP(O8,$U$5:$V$33,2,FALSE)="ID",INDEX(Output!$A$20:$AH$29,MATCH(O$4,Output!$A$20:$A$29,0),MATCH(O8,Output!$A$20:$AH$20,0))*100,"")</f>
        <v/>
      </c>
      <c r="R8" s="140" t="str">
        <f>IF(VLOOKUP(O8,$U$5:$V$33,2,FALSE)="CPP",INDEX(Output!$A$20:$AH$29,MATCH(O$4,Output!$A$20:$A$29,0),MATCH(O8,Output!$A$20:$AH$20,0))*100,"")</f>
        <v/>
      </c>
      <c r="S8" s="68"/>
      <c r="T8" s="68"/>
      <c r="U8" s="135" t="s">
        <v>14</v>
      </c>
      <c r="V8" s="78" t="s">
        <v>178</v>
      </c>
      <c r="W8" s="68"/>
      <c r="Z8" s="68"/>
    </row>
    <row r="9" spans="1:26" x14ac:dyDescent="0.25">
      <c r="A9" s="68"/>
      <c r="B9" s="95">
        <f t="shared" si="0"/>
        <v>25</v>
      </c>
      <c r="C9" s="95" t="s">
        <v>15</v>
      </c>
      <c r="D9" s="140">
        <f>INDEX(Output!$A$20:$AH$29,MATCH(C$4,Output!$A$20:$A$29,0),MATCH($C9,Output!$A$20:$AH$20,0))*100</f>
        <v>4.6586055520124514</v>
      </c>
      <c r="E9" s="95">
        <v>5</v>
      </c>
      <c r="F9" s="95" t="str">
        <f t="shared" si="1"/>
        <v>Eastland Network</v>
      </c>
      <c r="G9" s="140">
        <f>IF(VLOOKUP(F9,$U$5:$V$33,2,FALSE)="DPP",INDEX(Output!$A$20:$AH$29,MATCH(F$4,Output!$A$20:$A$29,0),MATCH(F9,Output!$A$20:$AH$20,0))*100,"")</f>
        <v>29.347533745070219</v>
      </c>
      <c r="H9" s="140" t="str">
        <f>IF(VLOOKUP(F9,$U$5:$V$33,2,FALSE)="ID",INDEX(Output!$A$20:$AH$29,MATCH(F$4,Output!$A$20:$A$29,0),MATCH(F9,Output!$A$20:$AH$20,0))*100,"")</f>
        <v/>
      </c>
      <c r="I9" s="140" t="str">
        <f>IF(VLOOKUP(F9,$U$5:$V$33,2,FALSE)="CPP",INDEX(Output!$A$20:$AH$29,MATCH(F$4,Output!$A$20:$A$29,0),MATCH(F9,Output!$A$20:$AH$20,0))*100,"")</f>
        <v/>
      </c>
      <c r="J9" s="112"/>
      <c r="K9" s="95">
        <f t="shared" si="2"/>
        <v>7</v>
      </c>
      <c r="L9" s="95" t="s">
        <v>15</v>
      </c>
      <c r="M9" s="140">
        <f>INDEX(Output!$A$20:$AH$29,MATCH(L$4,Output!$A$20:$A$29,0),MATCH($C9,Output!$A$20:$AH$20,0))*100</f>
        <v>75.17964951135572</v>
      </c>
      <c r="N9" s="95">
        <v>5</v>
      </c>
      <c r="O9" s="95" t="str">
        <f t="shared" si="3"/>
        <v>Eastland Network</v>
      </c>
      <c r="P9" s="140">
        <f>IF(VLOOKUP(O9,$U$5:$V$33,2,FALSE)="DPP",INDEX(Output!$A$20:$AH$29,MATCH(O$4,Output!$A$20:$A$29,0),MATCH(O9,Output!$A$20:$AH$20,0))*100,"")</f>
        <v>91.411891957254497</v>
      </c>
      <c r="Q9" s="140" t="str">
        <f>IF(VLOOKUP(O9,$U$5:$V$33,2,FALSE)="ID",INDEX(Output!$A$20:$AH$29,MATCH(O$4,Output!$A$20:$A$29,0),MATCH(O9,Output!$A$20:$AH$20,0))*100,"")</f>
        <v/>
      </c>
      <c r="R9" s="140" t="str">
        <f>IF(VLOOKUP(O9,$U$5:$V$33,2,FALSE)="CPP",INDEX(Output!$A$20:$AH$29,MATCH(O$4,Output!$A$20:$A$29,0),MATCH(O9,Output!$A$20:$AH$20,0))*100,"")</f>
        <v/>
      </c>
      <c r="S9" s="68"/>
      <c r="T9" s="68"/>
      <c r="U9" s="135" t="s">
        <v>15</v>
      </c>
      <c r="V9" s="78" t="s">
        <v>179</v>
      </c>
      <c r="W9" s="68"/>
      <c r="Z9" s="68"/>
    </row>
    <row r="10" spans="1:26" x14ac:dyDescent="0.25">
      <c r="A10" s="68"/>
      <c r="B10" s="95">
        <f t="shared" si="0"/>
        <v>5</v>
      </c>
      <c r="C10" s="95" t="s">
        <v>166</v>
      </c>
      <c r="D10" s="140">
        <f>INDEX(Output!$A$20:$AH$29,MATCH(C$4,Output!$A$20:$A$29,0),MATCH($C10,Output!$A$20:$AH$20,0))*100</f>
        <v>29.347533745070219</v>
      </c>
      <c r="E10" s="95">
        <v>6</v>
      </c>
      <c r="F10" s="95" t="str">
        <f t="shared" si="1"/>
        <v>Alpine Energy</v>
      </c>
      <c r="G10" s="140">
        <f>IF(VLOOKUP(F10,$U$5:$V$33,2,FALSE)="DPP",INDEX(Output!$A$20:$AH$29,MATCH(F$4,Output!$A$20:$A$29,0),MATCH(F10,Output!$A$20:$AH$20,0))*100,"")</f>
        <v>29.046201592928167</v>
      </c>
      <c r="H10" s="140" t="str">
        <f>IF(VLOOKUP(F10,$U$5:$V$33,2,FALSE)="ID",INDEX(Output!$A$20:$AH$29,MATCH(F$4,Output!$A$20:$A$29,0),MATCH(F10,Output!$A$20:$AH$20,0))*100,"")</f>
        <v/>
      </c>
      <c r="I10" s="140" t="str">
        <f>IF(VLOOKUP(F10,$U$5:$V$33,2,FALSE)="CPP",INDEX(Output!$A$20:$AH$29,MATCH(F$4,Output!$A$20:$A$29,0),MATCH(F10,Output!$A$20:$AH$20,0))*100,"")</f>
        <v/>
      </c>
      <c r="J10" s="112"/>
      <c r="K10" s="95">
        <f t="shared" si="2"/>
        <v>5</v>
      </c>
      <c r="L10" s="95" t="s">
        <v>166</v>
      </c>
      <c r="M10" s="140">
        <f>INDEX(Output!$A$20:$AH$29,MATCH(L$4,Output!$A$20:$A$29,0),MATCH($C10,Output!$A$20:$AH$20,0))*100</f>
        <v>91.411891957254497</v>
      </c>
      <c r="N10" s="95">
        <v>6</v>
      </c>
      <c r="O10" s="95" t="str">
        <f t="shared" si="3"/>
        <v>Scanpower</v>
      </c>
      <c r="P10" s="140" t="str">
        <f>IF(VLOOKUP(O10,$U$5:$V$33,2,FALSE)="DPP",INDEX(Output!$A$20:$AH$29,MATCH(O$4,Output!$A$20:$A$29,0),MATCH(O10,Output!$A$20:$AH$20,0))*100,"")</f>
        <v/>
      </c>
      <c r="Q10" s="140">
        <f>IF(VLOOKUP(O10,$U$5:$V$33,2,FALSE)="ID",INDEX(Output!$A$20:$AH$29,MATCH(O$4,Output!$A$20:$A$29,0),MATCH(O10,Output!$A$20:$AH$20,0))*100,"")</f>
        <v>82.757522980719571</v>
      </c>
      <c r="R10" s="140" t="str">
        <f>IF(VLOOKUP(O10,$U$5:$V$33,2,FALSE)="CPP",INDEX(Output!$A$20:$AH$29,MATCH(O$4,Output!$A$20:$A$29,0),MATCH(O10,Output!$A$20:$AH$20,0))*100,"")</f>
        <v/>
      </c>
      <c r="S10" s="68"/>
      <c r="T10" s="68"/>
      <c r="U10" s="135" t="s">
        <v>166</v>
      </c>
      <c r="V10" s="78" t="s">
        <v>178</v>
      </c>
      <c r="W10" s="68"/>
      <c r="Z10" s="68"/>
    </row>
    <row r="11" spans="1:26" x14ac:dyDescent="0.25">
      <c r="A11" s="68"/>
      <c r="B11" s="95">
        <f t="shared" si="0"/>
        <v>13</v>
      </c>
      <c r="C11" s="95" t="s">
        <v>16</v>
      </c>
      <c r="D11" s="140">
        <f>INDEX(Output!$A$20:$AH$29,MATCH(C$4,Output!$A$20:$A$29,0),MATCH($C11,Output!$A$20:$AH$20,0))*100</f>
        <v>14.736971165506386</v>
      </c>
      <c r="E11" s="95">
        <v>7</v>
      </c>
      <c r="F11" s="95" t="str">
        <f t="shared" si="1"/>
        <v>Unison Networks</v>
      </c>
      <c r="G11" s="140">
        <f>IF(VLOOKUP(F11,$U$5:$V$33,2,FALSE)="DPP",INDEX(Output!$A$20:$AH$29,MATCH(F$4,Output!$A$20:$A$29,0),MATCH(F11,Output!$A$20:$AH$20,0))*100,"")</f>
        <v>27.453156880651175</v>
      </c>
      <c r="H11" s="140" t="str">
        <f>IF(VLOOKUP(F11,$U$5:$V$33,2,FALSE)="ID",INDEX(Output!$A$20:$AH$29,MATCH(F$4,Output!$A$20:$A$29,0),MATCH(F11,Output!$A$20:$AH$20,0))*100,"")</f>
        <v/>
      </c>
      <c r="I11" s="140" t="str">
        <f>IF(VLOOKUP(F11,$U$5:$V$33,2,FALSE)="CPP",INDEX(Output!$A$20:$AH$29,MATCH(F$4,Output!$A$20:$A$29,0),MATCH(F11,Output!$A$20:$AH$20,0))*100,"")</f>
        <v/>
      </c>
      <c r="J11" s="112"/>
      <c r="K11" s="95">
        <f t="shared" si="2"/>
        <v>25</v>
      </c>
      <c r="L11" s="95" t="s">
        <v>16</v>
      </c>
      <c r="M11" s="140">
        <f>INDEX(Output!$A$20:$AH$29,MATCH(L$4,Output!$A$20:$A$29,0),MATCH($C11,Output!$A$20:$AH$20,0))*100</f>
        <v>3.4973151276753933</v>
      </c>
      <c r="N11" s="95">
        <v>7</v>
      </c>
      <c r="O11" s="95" t="str">
        <f t="shared" si="3"/>
        <v>Counties Power</v>
      </c>
      <c r="P11" s="140" t="str">
        <f>IF(VLOOKUP(O11,$U$5:$V$33,2,FALSE)="DPP",INDEX(Output!$A$20:$AH$29,MATCH(O$4,Output!$A$20:$A$29,0),MATCH(O11,Output!$A$20:$AH$20,0))*100,"")</f>
        <v/>
      </c>
      <c r="Q11" s="140">
        <f>IF(VLOOKUP(O11,$U$5:$V$33,2,FALSE)="ID",INDEX(Output!$A$20:$AH$29,MATCH(O$4,Output!$A$20:$A$29,0),MATCH(O11,Output!$A$20:$AH$20,0))*100,"")</f>
        <v>75.17964951135572</v>
      </c>
      <c r="R11" s="140" t="str">
        <f>IF(VLOOKUP(O11,$U$5:$V$33,2,FALSE)="CPP",INDEX(Output!$A$20:$AH$29,MATCH(O$4,Output!$A$20:$A$29,0),MATCH(O11,Output!$A$20:$AH$20,0))*100,"")</f>
        <v/>
      </c>
      <c r="S11" s="68"/>
      <c r="T11" s="68"/>
      <c r="U11" s="135" t="s">
        <v>16</v>
      </c>
      <c r="V11" s="78" t="s">
        <v>179</v>
      </c>
      <c r="W11" s="68"/>
      <c r="Z11" s="68"/>
    </row>
    <row r="12" spans="1:26" x14ac:dyDescent="0.25">
      <c r="A12" s="68"/>
      <c r="B12" s="95">
        <f t="shared" si="0"/>
        <v>4</v>
      </c>
      <c r="C12" s="95" t="s">
        <v>17</v>
      </c>
      <c r="D12" s="140">
        <f>INDEX(Output!$A$20:$AH$29,MATCH(C$4,Output!$A$20:$A$29,0),MATCH($C12,Output!$A$20:$AH$20,0))*100</f>
        <v>30.387775741224665</v>
      </c>
      <c r="E12" s="95">
        <v>8</v>
      </c>
      <c r="F12" s="95" t="str">
        <f t="shared" si="1"/>
        <v>Buller Electricity</v>
      </c>
      <c r="G12" s="140" t="str">
        <f>IF(VLOOKUP(F12,$U$5:$V$33,2,FALSE)="DPP",INDEX(Output!$A$20:$AH$29,MATCH(F$4,Output!$A$20:$A$29,0),MATCH(F12,Output!$A$20:$AH$20,0))*100,"")</f>
        <v/>
      </c>
      <c r="H12" s="140">
        <f>IF(VLOOKUP(F12,$U$5:$V$33,2,FALSE)="ID",INDEX(Output!$A$20:$AH$29,MATCH(F$4,Output!$A$20:$A$29,0),MATCH(F12,Output!$A$20:$AH$20,0))*100,"")</f>
        <v>25.115656928868859</v>
      </c>
      <c r="I12" s="140" t="str">
        <f>IF(VLOOKUP(F12,$U$5:$V$33,2,FALSE)="CPP",INDEX(Output!$A$20:$AH$29,MATCH(F$4,Output!$A$20:$A$29,0),MATCH(F12,Output!$A$20:$AH$20,0))*100,"")</f>
        <v/>
      </c>
      <c r="J12" s="112"/>
      <c r="K12" s="95">
        <f t="shared" si="2"/>
        <v>20</v>
      </c>
      <c r="L12" s="95" t="s">
        <v>17</v>
      </c>
      <c r="M12" s="140">
        <f>INDEX(Output!$A$20:$AH$29,MATCH(L$4,Output!$A$20:$A$29,0),MATCH($C12,Output!$A$20:$AH$20,0))*100</f>
        <v>25.204380379628887</v>
      </c>
      <c r="N12" s="95">
        <v>8</v>
      </c>
      <c r="O12" s="95" t="str">
        <f t="shared" si="3"/>
        <v>Orion NZ</v>
      </c>
      <c r="P12" s="140" t="str">
        <f>IF(VLOOKUP(O12,$U$5:$V$33,2,FALSE)="DPP",INDEX(Output!$A$20:$AH$29,MATCH(O$4,Output!$A$20:$A$29,0),MATCH(O12,Output!$A$20:$AH$20,0))*100,"")</f>
        <v/>
      </c>
      <c r="Q12" s="140" t="str">
        <f>IF(VLOOKUP(O12,$U$5:$V$33,2,FALSE)="ID",INDEX(Output!$A$20:$AH$29,MATCH(O$4,Output!$A$20:$A$29,0),MATCH(O12,Output!$A$20:$AH$20,0))*100,"")</f>
        <v/>
      </c>
      <c r="R12" s="140">
        <f>IF(VLOOKUP(O12,$U$5:$V$33,2,FALSE)="CPP",INDEX(Output!$A$20:$AH$29,MATCH(O$4,Output!$A$20:$A$29,0),MATCH(O12,Output!$A$20:$AH$20,0))*100,"")</f>
        <v>73.62039393048218</v>
      </c>
      <c r="S12" s="68"/>
      <c r="T12" s="68"/>
      <c r="U12" s="135" t="s">
        <v>17</v>
      </c>
      <c r="V12" s="78" t="s">
        <v>178</v>
      </c>
      <c r="W12" s="68"/>
      <c r="Z12" s="68"/>
    </row>
    <row r="13" spans="1:26" x14ac:dyDescent="0.25">
      <c r="A13" s="68"/>
      <c r="B13" s="95">
        <f t="shared" si="0"/>
        <v>20</v>
      </c>
      <c r="C13" s="95" t="s">
        <v>18</v>
      </c>
      <c r="D13" s="140">
        <f>INDEX(Output!$A$20:$AH$29,MATCH(C$4,Output!$A$20:$A$29,0),MATCH($C13,Output!$A$20:$AH$20,0))*100</f>
        <v>7.9952780278018887</v>
      </c>
      <c r="E13" s="95">
        <v>9</v>
      </c>
      <c r="F13" s="95" t="str">
        <f t="shared" si="1"/>
        <v>MainPower NZ</v>
      </c>
      <c r="G13" s="140" t="str">
        <f>IF(VLOOKUP(F13,$U$5:$V$33,2,FALSE)="DPP",INDEX(Output!$A$20:$AH$29,MATCH(F$4,Output!$A$20:$A$29,0),MATCH(F13,Output!$A$20:$AH$20,0))*100,"")</f>
        <v/>
      </c>
      <c r="H13" s="140">
        <f>IF(VLOOKUP(F13,$U$5:$V$33,2,FALSE)="ID",INDEX(Output!$A$20:$AH$29,MATCH(F$4,Output!$A$20:$A$29,0),MATCH(F13,Output!$A$20:$AH$20,0))*100,"")</f>
        <v>23.950454478318584</v>
      </c>
      <c r="I13" s="140" t="str">
        <f>IF(VLOOKUP(F13,$U$5:$V$33,2,FALSE)="CPP",INDEX(Output!$A$20:$AH$29,MATCH(F$4,Output!$A$20:$A$29,0),MATCH(F13,Output!$A$20:$AH$20,0))*100,"")</f>
        <v/>
      </c>
      <c r="J13" s="112"/>
      <c r="K13" s="95">
        <f t="shared" si="2"/>
        <v>9</v>
      </c>
      <c r="L13" s="95" t="s">
        <v>18</v>
      </c>
      <c r="M13" s="140">
        <f>INDEX(Output!$A$20:$AH$29,MATCH(L$4,Output!$A$20:$A$29,0),MATCH($C13,Output!$A$20:$AH$20,0))*100</f>
        <v>70.174030970542091</v>
      </c>
      <c r="N13" s="95">
        <v>9</v>
      </c>
      <c r="O13" s="95" t="str">
        <f t="shared" si="3"/>
        <v>Electricity Invercargill</v>
      </c>
      <c r="P13" s="140">
        <f>IF(VLOOKUP(O13,$U$5:$V$33,2,FALSE)="DPP",INDEX(Output!$A$20:$AH$29,MATCH(O$4,Output!$A$20:$A$29,0),MATCH(O13,Output!$A$20:$AH$20,0))*100,"")</f>
        <v>70.174030970542091</v>
      </c>
      <c r="Q13" s="140" t="str">
        <f>IF(VLOOKUP(O13,$U$5:$V$33,2,FALSE)="ID",INDEX(Output!$A$20:$AH$29,MATCH(O$4,Output!$A$20:$A$29,0),MATCH(O13,Output!$A$20:$AH$20,0))*100,"")</f>
        <v/>
      </c>
      <c r="R13" s="140" t="str">
        <f>IF(VLOOKUP(O13,$U$5:$V$33,2,FALSE)="CPP",INDEX(Output!$A$20:$AH$29,MATCH(O$4,Output!$A$20:$A$29,0),MATCH(O13,Output!$A$20:$AH$20,0))*100,"")</f>
        <v/>
      </c>
      <c r="S13" s="68"/>
      <c r="T13" s="68"/>
      <c r="U13" s="135" t="s">
        <v>18</v>
      </c>
      <c r="V13" s="78" t="s">
        <v>178</v>
      </c>
      <c r="W13" s="68"/>
      <c r="Z13" s="68"/>
    </row>
    <row r="14" spans="1:26" x14ac:dyDescent="0.25">
      <c r="A14" s="68"/>
      <c r="B14" s="95">
        <f t="shared" si="0"/>
        <v>23</v>
      </c>
      <c r="C14" s="95" t="s">
        <v>19</v>
      </c>
      <c r="D14" s="140">
        <f>INDEX(Output!$A$20:$AH$29,MATCH(C$4,Output!$A$20:$A$29,0),MATCH($C14,Output!$A$20:$AH$20,0))*100</f>
        <v>6.522656654355008</v>
      </c>
      <c r="E14" s="95">
        <v>10</v>
      </c>
      <c r="F14" s="95" t="str">
        <f t="shared" si="1"/>
        <v>Network Waitaki</v>
      </c>
      <c r="G14" s="140" t="str">
        <f>IF(VLOOKUP(F14,$U$5:$V$33,2,FALSE)="DPP",INDEX(Output!$A$20:$AH$29,MATCH(F$4,Output!$A$20:$A$29,0),MATCH(F14,Output!$A$20:$AH$20,0))*100,"")</f>
        <v/>
      </c>
      <c r="H14" s="140">
        <f>IF(VLOOKUP(F14,$U$5:$V$33,2,FALSE)="ID",INDEX(Output!$A$20:$AH$29,MATCH(F$4,Output!$A$20:$A$29,0),MATCH(F14,Output!$A$20:$AH$20,0))*100,"")</f>
        <v>23.083485451960041</v>
      </c>
      <c r="I14" s="140" t="str">
        <f>IF(VLOOKUP(F14,$U$5:$V$33,2,FALSE)="CPP",INDEX(Output!$A$20:$AH$29,MATCH(F$4,Output!$A$20:$A$29,0),MATCH(F14,Output!$A$20:$AH$20,0))*100,"")</f>
        <v/>
      </c>
      <c r="J14" s="112"/>
      <c r="K14" s="95">
        <f t="shared" si="2"/>
        <v>10</v>
      </c>
      <c r="L14" s="95" t="s">
        <v>19</v>
      </c>
      <c r="M14" s="140">
        <f>INDEX(Output!$A$20:$AH$29,MATCH(L$4,Output!$A$20:$A$29,0),MATCH($C14,Output!$A$20:$AH$20,0))*100</f>
        <v>69.939336148796812</v>
      </c>
      <c r="N14" s="95">
        <v>10</v>
      </c>
      <c r="O14" s="95" t="str">
        <f t="shared" si="3"/>
        <v>Horizon Energy</v>
      </c>
      <c r="P14" s="140">
        <f>IF(VLOOKUP(O14,$U$5:$V$33,2,FALSE)="DPP",INDEX(Output!$A$20:$AH$29,MATCH(O$4,Output!$A$20:$A$29,0),MATCH(O14,Output!$A$20:$AH$20,0))*100,"")</f>
        <v>69.939336148796812</v>
      </c>
      <c r="Q14" s="140" t="str">
        <f>IF(VLOOKUP(O14,$U$5:$V$33,2,FALSE)="ID",INDEX(Output!$A$20:$AH$29,MATCH(O$4,Output!$A$20:$A$29,0),MATCH(O14,Output!$A$20:$AH$20,0))*100,"")</f>
        <v/>
      </c>
      <c r="R14" s="140" t="str">
        <f>IF(VLOOKUP(O14,$U$5:$V$33,2,FALSE)="CPP",INDEX(Output!$A$20:$AH$29,MATCH(O$4,Output!$A$20:$A$29,0),MATCH(O14,Output!$A$20:$AH$20,0))*100,"")</f>
        <v/>
      </c>
      <c r="S14" s="68"/>
      <c r="T14" s="68"/>
      <c r="U14" s="135" t="s">
        <v>19</v>
      </c>
      <c r="V14" s="78" t="s">
        <v>178</v>
      </c>
      <c r="W14" s="68"/>
      <c r="Z14" s="68"/>
    </row>
    <row r="15" spans="1:26" x14ac:dyDescent="0.25">
      <c r="A15" s="68"/>
      <c r="B15" s="95">
        <f t="shared" si="0"/>
        <v>9</v>
      </c>
      <c r="C15" s="95" t="s">
        <v>168</v>
      </c>
      <c r="D15" s="140">
        <f>INDEX(Output!$A$20:$AH$29,MATCH(C$4,Output!$A$20:$A$29,0),MATCH($C15,Output!$A$20:$AH$20,0))*100</f>
        <v>23.950454478318584</v>
      </c>
      <c r="E15" s="95">
        <v>11</v>
      </c>
      <c r="F15" s="95" t="str">
        <f t="shared" si="1"/>
        <v>The Power Company</v>
      </c>
      <c r="G15" s="140" t="str">
        <f>IF(VLOOKUP(F15,$U$5:$V$33,2,FALSE)="DPP",INDEX(Output!$A$20:$AH$29,MATCH(F$4,Output!$A$20:$A$29,0),MATCH(F15,Output!$A$20:$AH$20,0))*100,"")</f>
        <v/>
      </c>
      <c r="H15" s="140">
        <f>IF(VLOOKUP(F15,$U$5:$V$33,2,FALSE)="ID",INDEX(Output!$A$20:$AH$29,MATCH(F$4,Output!$A$20:$A$29,0),MATCH(F15,Output!$A$20:$AH$20,0))*100,"")</f>
        <v>20.203193471806237</v>
      </c>
      <c r="I15" s="140" t="str">
        <f>IF(VLOOKUP(F15,$U$5:$V$33,2,FALSE)="CPP",INDEX(Output!$A$20:$AH$29,MATCH(F$4,Output!$A$20:$A$29,0),MATCH(F15,Output!$A$20:$AH$20,0))*100,"")</f>
        <v/>
      </c>
      <c r="J15" s="112"/>
      <c r="K15" s="95">
        <f t="shared" si="2"/>
        <v>2</v>
      </c>
      <c r="L15" s="95" t="s">
        <v>168</v>
      </c>
      <c r="M15" s="140">
        <f>INDEX(Output!$A$20:$AH$29,MATCH(L$4,Output!$A$20:$A$29,0),MATCH($C15,Output!$A$20:$AH$20,0))*100</f>
        <v>109.99133119952936</v>
      </c>
      <c r="N15" s="95">
        <v>11</v>
      </c>
      <c r="O15" s="95" t="str">
        <f t="shared" si="3"/>
        <v>Alpine Energy</v>
      </c>
      <c r="P15" s="140">
        <f>IF(VLOOKUP(O15,$U$5:$V$33,2,FALSE)="DPP",INDEX(Output!$A$20:$AH$29,MATCH(O$4,Output!$A$20:$A$29,0),MATCH(O15,Output!$A$20:$AH$20,0))*100,"")</f>
        <v>59.670393482394466</v>
      </c>
      <c r="Q15" s="140" t="str">
        <f>IF(VLOOKUP(O15,$U$5:$V$33,2,FALSE)="ID",INDEX(Output!$A$20:$AH$29,MATCH(O$4,Output!$A$20:$A$29,0),MATCH(O15,Output!$A$20:$AH$20,0))*100,"")</f>
        <v/>
      </c>
      <c r="R15" s="140" t="str">
        <f>IF(VLOOKUP(O15,$U$5:$V$33,2,FALSE)="CPP",INDEX(Output!$A$20:$AH$29,MATCH(O$4,Output!$A$20:$A$29,0),MATCH(O15,Output!$A$20:$AH$20,0))*100,"")</f>
        <v/>
      </c>
      <c r="S15" s="68"/>
      <c r="T15" s="68"/>
      <c r="U15" s="135" t="s">
        <v>168</v>
      </c>
      <c r="V15" s="78" t="s">
        <v>179</v>
      </c>
      <c r="W15" s="68"/>
      <c r="Z15" s="68"/>
    </row>
    <row r="16" spans="1:26" x14ac:dyDescent="0.25">
      <c r="A16" s="68"/>
      <c r="B16" s="95">
        <f t="shared" si="0"/>
        <v>29</v>
      </c>
      <c r="C16" s="95" t="s">
        <v>20</v>
      </c>
      <c r="D16" s="140">
        <f>INDEX(Output!$A$20:$AH$29,MATCH(C$4,Output!$A$20:$A$29,0),MATCH($C16,Output!$A$20:$AH$20,0))*100</f>
        <v>-22.358772964125151</v>
      </c>
      <c r="E16" s="95">
        <v>12</v>
      </c>
      <c r="F16" s="95" t="str">
        <f t="shared" si="1"/>
        <v>Vector Lines</v>
      </c>
      <c r="G16" s="140">
        <f>IF(VLOOKUP(F16,$U$5:$V$33,2,FALSE)="DPP",INDEX(Output!$A$20:$AH$29,MATCH(F$4,Output!$A$20:$A$29,0),MATCH(F16,Output!$A$20:$AH$20,0))*100,"")</f>
        <v>15.116302809212613</v>
      </c>
      <c r="H16" s="140" t="str">
        <f>IF(VLOOKUP(F16,$U$5:$V$33,2,FALSE)="ID",INDEX(Output!$A$20:$AH$29,MATCH(F$4,Output!$A$20:$A$29,0),MATCH(F16,Output!$A$20:$AH$20,0))*100,"")</f>
        <v/>
      </c>
      <c r="I16" s="140" t="str">
        <f>IF(VLOOKUP(F16,$U$5:$V$33,2,FALSE)="CPP",INDEX(Output!$A$20:$AH$29,MATCH(F$4,Output!$A$20:$A$29,0),MATCH(F16,Output!$A$20:$AH$20,0))*100,"")</f>
        <v/>
      </c>
      <c r="J16" s="112"/>
      <c r="K16" s="95">
        <f t="shared" si="2"/>
        <v>27</v>
      </c>
      <c r="L16" s="95" t="s">
        <v>20</v>
      </c>
      <c r="M16" s="140">
        <f>INDEX(Output!$A$20:$AH$29,MATCH(L$4,Output!$A$20:$A$29,0),MATCH($C16,Output!$A$20:$AH$20,0))*100</f>
        <v>-8.3516723074337875</v>
      </c>
      <c r="N16" s="95">
        <v>12</v>
      </c>
      <c r="O16" s="95" t="str">
        <f t="shared" si="3"/>
        <v>Northpower</v>
      </c>
      <c r="P16" s="140" t="str">
        <f>IF(VLOOKUP(O16,$U$5:$V$33,2,FALSE)="DPP",INDEX(Output!$A$20:$AH$29,MATCH(O$4,Output!$A$20:$A$29,0),MATCH(O16,Output!$A$20:$AH$20,0))*100,"")</f>
        <v/>
      </c>
      <c r="Q16" s="140">
        <f>IF(VLOOKUP(O16,$U$5:$V$33,2,FALSE)="ID",INDEX(Output!$A$20:$AH$29,MATCH(O$4,Output!$A$20:$A$29,0),MATCH(O16,Output!$A$20:$AH$20,0))*100,"")</f>
        <v>47.358204613319984</v>
      </c>
      <c r="R16" s="140" t="str">
        <f>IF(VLOOKUP(O16,$U$5:$V$33,2,FALSE)="CPP",INDEX(Output!$A$20:$AH$29,MATCH(O$4,Output!$A$20:$A$29,0),MATCH(O16,Output!$A$20:$AH$20,0))*100,"")</f>
        <v/>
      </c>
      <c r="S16" s="68"/>
      <c r="T16" s="68"/>
      <c r="U16" s="135" t="s">
        <v>20</v>
      </c>
      <c r="V16" s="78" t="s">
        <v>179</v>
      </c>
      <c r="W16" s="68"/>
      <c r="Z16" s="68"/>
    </row>
    <row r="17" spans="1:26" x14ac:dyDescent="0.25">
      <c r="A17" s="68"/>
      <c r="B17" s="95">
        <f t="shared" si="0"/>
        <v>19</v>
      </c>
      <c r="C17" s="95" t="s">
        <v>21</v>
      </c>
      <c r="D17" s="140">
        <f>INDEX(Output!$A$20:$AH$29,MATCH(C$4,Output!$A$20:$A$29,0),MATCH($C17,Output!$A$20:$AH$20,0))*100</f>
        <v>8.5108585932925251</v>
      </c>
      <c r="E17" s="95">
        <v>13</v>
      </c>
      <c r="F17" s="95" t="str">
        <f t="shared" si="1"/>
        <v>Electra</v>
      </c>
      <c r="G17" s="140" t="str">
        <f>IF(VLOOKUP(F17,$U$5:$V$33,2,FALSE)="DPP",INDEX(Output!$A$20:$AH$29,MATCH(F$4,Output!$A$20:$A$29,0),MATCH(F17,Output!$A$20:$AH$20,0))*100,"")</f>
        <v/>
      </c>
      <c r="H17" s="140">
        <f>IF(VLOOKUP(F17,$U$5:$V$33,2,FALSE)="ID",INDEX(Output!$A$20:$AH$29,MATCH(F$4,Output!$A$20:$A$29,0),MATCH(F17,Output!$A$20:$AH$20,0))*100,"")</f>
        <v>14.736971165506386</v>
      </c>
      <c r="I17" s="140" t="str">
        <f>IF(VLOOKUP(F17,$U$5:$V$33,2,FALSE)="CPP",INDEX(Output!$A$20:$AH$29,MATCH(F$4,Output!$A$20:$A$29,0),MATCH(F17,Output!$A$20:$AH$20,0))*100,"")</f>
        <v/>
      </c>
      <c r="J17" s="112"/>
      <c r="K17" s="95">
        <f t="shared" si="2"/>
        <v>1</v>
      </c>
      <c r="L17" s="95" t="s">
        <v>21</v>
      </c>
      <c r="M17" s="140">
        <f>INDEX(Output!$A$20:$AH$29,MATCH(L$4,Output!$A$20:$A$29,0),MATCH($C17,Output!$A$20:$AH$20,0))*100</f>
        <v>345.42350535163189</v>
      </c>
      <c r="N17" s="95">
        <v>13</v>
      </c>
      <c r="O17" s="95" t="str">
        <f t="shared" si="3"/>
        <v>Waipa Network</v>
      </c>
      <c r="P17" s="140" t="str">
        <f>IF(VLOOKUP(O17,$U$5:$V$33,2,FALSE)="DPP",INDEX(Output!$A$20:$AH$29,MATCH(O$4,Output!$A$20:$A$29,0),MATCH(O17,Output!$A$20:$AH$20,0))*100,"")</f>
        <v/>
      </c>
      <c r="Q17" s="140">
        <f>IF(VLOOKUP(O17,$U$5:$V$33,2,FALSE)="ID",INDEX(Output!$A$20:$AH$29,MATCH(O$4,Output!$A$20:$A$29,0),MATCH(O17,Output!$A$20:$AH$20,0))*100,"")</f>
        <v>44.06091189058867</v>
      </c>
      <c r="R17" s="140" t="str">
        <f>IF(VLOOKUP(O17,$U$5:$V$33,2,FALSE)="CPP",INDEX(Output!$A$20:$AH$29,MATCH(O$4,Output!$A$20:$A$29,0),MATCH(O17,Output!$A$20:$AH$20,0))*100,"")</f>
        <v/>
      </c>
      <c r="S17" s="68"/>
      <c r="T17" s="68"/>
      <c r="U17" s="135" t="s">
        <v>21</v>
      </c>
      <c r="V17" s="78" t="s">
        <v>178</v>
      </c>
      <c r="W17" s="68"/>
      <c r="Z17" s="68"/>
    </row>
    <row r="18" spans="1:26" x14ac:dyDescent="0.25">
      <c r="A18" s="68"/>
      <c r="B18" s="95">
        <f t="shared" si="0"/>
        <v>17</v>
      </c>
      <c r="C18" s="95" t="s">
        <v>22</v>
      </c>
      <c r="D18" s="140">
        <f>INDEX(Output!$A$20:$AH$29,MATCH(C$4,Output!$A$20:$A$29,0),MATCH($C18,Output!$A$20:$AH$20,0))*100</f>
        <v>9.0679530148082055</v>
      </c>
      <c r="E18" s="95">
        <v>14</v>
      </c>
      <c r="F18" s="95" t="str">
        <f t="shared" si="1"/>
        <v>Aurora Energy</v>
      </c>
      <c r="G18" s="140">
        <f>IF(VLOOKUP(F18,$U$5:$V$33,2,FALSE)="DPP",INDEX(Output!$A$20:$AH$29,MATCH(F$4,Output!$A$20:$A$29,0),MATCH(F18,Output!$A$20:$AH$20,0))*100,"")</f>
        <v>13.448372538167487</v>
      </c>
      <c r="H18" s="140" t="str">
        <f>IF(VLOOKUP(F18,$U$5:$V$33,2,FALSE)="ID",INDEX(Output!$A$20:$AH$29,MATCH(F$4,Output!$A$20:$A$29,0),MATCH(F18,Output!$A$20:$AH$20,0))*100,"")</f>
        <v/>
      </c>
      <c r="I18" s="140" t="str">
        <f>IF(VLOOKUP(F18,$U$5:$V$33,2,FALSE)="CPP",INDEX(Output!$A$20:$AH$29,MATCH(F$4,Output!$A$20:$A$29,0),MATCH(F18,Output!$A$20:$AH$20,0))*100,"")</f>
        <v/>
      </c>
      <c r="J18" s="112"/>
      <c r="K18" s="95">
        <f t="shared" si="2"/>
        <v>4</v>
      </c>
      <c r="L18" s="95" t="s">
        <v>22</v>
      </c>
      <c r="M18" s="140">
        <f>INDEX(Output!$A$20:$AH$29,MATCH(L$4,Output!$A$20:$A$29,0),MATCH($C18,Output!$A$20:$AH$20,0))*100</f>
        <v>96.155539313774938</v>
      </c>
      <c r="N18" s="95">
        <v>14</v>
      </c>
      <c r="O18" s="95" t="str">
        <f t="shared" si="3"/>
        <v>Network Waitaki</v>
      </c>
      <c r="P18" s="140" t="str">
        <f>IF(VLOOKUP(O18,$U$5:$V$33,2,FALSE)="DPP",INDEX(Output!$A$20:$AH$29,MATCH(O$4,Output!$A$20:$A$29,0),MATCH(O18,Output!$A$20:$AH$20,0))*100,"")</f>
        <v/>
      </c>
      <c r="Q18" s="140">
        <f>IF(VLOOKUP(O18,$U$5:$V$33,2,FALSE)="ID",INDEX(Output!$A$20:$AH$29,MATCH(O$4,Output!$A$20:$A$29,0),MATCH(O18,Output!$A$20:$AH$20,0))*100,"")</f>
        <v>42.544592243949573</v>
      </c>
      <c r="R18" s="140" t="str">
        <f>IF(VLOOKUP(O18,$U$5:$V$33,2,FALSE)="CPP",INDEX(Output!$A$20:$AH$29,MATCH(O$4,Output!$A$20:$A$29,0),MATCH(O18,Output!$A$20:$AH$20,0))*100,"")</f>
        <v/>
      </c>
      <c r="S18" s="68"/>
      <c r="T18" s="68"/>
      <c r="U18" s="135" t="s">
        <v>22</v>
      </c>
      <c r="V18" s="78" t="s">
        <v>178</v>
      </c>
      <c r="W18" s="68"/>
      <c r="Z18" s="68"/>
    </row>
    <row r="19" spans="1:26" x14ac:dyDescent="0.25">
      <c r="A19" s="68"/>
      <c r="B19" s="95">
        <f t="shared" si="0"/>
        <v>10</v>
      </c>
      <c r="C19" s="95" t="s">
        <v>23</v>
      </c>
      <c r="D19" s="140">
        <f>INDEX(Output!$A$20:$AH$29,MATCH(C$4,Output!$A$20:$A$29,0),MATCH($C19,Output!$A$20:$AH$20,0))*100</f>
        <v>23.083485451960041</v>
      </c>
      <c r="E19" s="95">
        <v>15</v>
      </c>
      <c r="F19" s="95" t="str">
        <f t="shared" si="1"/>
        <v>Orion NZ</v>
      </c>
      <c r="G19" s="140" t="str">
        <f>IF(VLOOKUP(F19,$U$5:$V$33,2,FALSE)="DPP",INDEX(Output!$A$20:$AH$29,MATCH(F$4,Output!$A$20:$A$29,0),MATCH(F19,Output!$A$20:$AH$20,0))*100,"")</f>
        <v/>
      </c>
      <c r="H19" s="140" t="str">
        <f>IF(VLOOKUP(F19,$U$5:$V$33,2,FALSE)="ID",INDEX(Output!$A$20:$AH$29,MATCH(F$4,Output!$A$20:$A$29,0),MATCH(F19,Output!$A$20:$AH$20,0))*100,"")</f>
        <v/>
      </c>
      <c r="I19" s="140">
        <f>IF(VLOOKUP(F19,$U$5:$V$33,2,FALSE)="CPP",INDEX(Output!$A$20:$AH$29,MATCH(F$4,Output!$A$20:$A$29,0),MATCH(F19,Output!$A$20:$AH$20,0))*100,"")</f>
        <v>13.065027604569179</v>
      </c>
      <c r="J19" s="112"/>
      <c r="K19" s="95">
        <f t="shared" si="2"/>
        <v>14</v>
      </c>
      <c r="L19" s="95" t="s">
        <v>23</v>
      </c>
      <c r="M19" s="140">
        <f>INDEX(Output!$A$20:$AH$29,MATCH(L$4,Output!$A$20:$A$29,0),MATCH($C19,Output!$A$20:$AH$20,0))*100</f>
        <v>42.544592243949573</v>
      </c>
      <c r="N19" s="95">
        <v>15</v>
      </c>
      <c r="O19" s="95" t="str">
        <f t="shared" si="3"/>
        <v>OtagoNet</v>
      </c>
      <c r="P19" s="140">
        <f>IF(VLOOKUP(O19,$U$5:$V$33,2,FALSE)="DPP",INDEX(Output!$A$20:$AH$29,MATCH(O$4,Output!$A$20:$A$29,0),MATCH(O19,Output!$A$20:$AH$20,0))*100,"")</f>
        <v>39.797740843169493</v>
      </c>
      <c r="Q19" s="140" t="str">
        <f>IF(VLOOKUP(O19,$U$5:$V$33,2,FALSE)="ID",INDEX(Output!$A$20:$AH$29,MATCH(O$4,Output!$A$20:$A$29,0),MATCH(O19,Output!$A$20:$AH$20,0))*100,"")</f>
        <v/>
      </c>
      <c r="R19" s="140" t="str">
        <f>IF(VLOOKUP(O19,$U$5:$V$33,2,FALSE)="CPP",INDEX(Output!$A$20:$AH$29,MATCH(O$4,Output!$A$20:$A$29,0),MATCH(O19,Output!$A$20:$AH$20,0))*100,"")</f>
        <v/>
      </c>
      <c r="S19" s="68"/>
      <c r="T19" s="68"/>
      <c r="U19" s="135" t="s">
        <v>23</v>
      </c>
      <c r="V19" s="78" t="s">
        <v>179</v>
      </c>
      <c r="W19" s="68"/>
      <c r="Z19" s="68"/>
    </row>
    <row r="20" spans="1:26" x14ac:dyDescent="0.25">
      <c r="A20" s="68"/>
      <c r="B20" s="95">
        <f t="shared" si="0"/>
        <v>27</v>
      </c>
      <c r="C20" s="95" t="s">
        <v>24</v>
      </c>
      <c r="D20" s="140">
        <f>INDEX(Output!$A$20:$AH$29,MATCH(C$4,Output!$A$20:$A$29,0),MATCH($C20,Output!$A$20:$AH$20,0))*100</f>
        <v>-2.3148134545038279</v>
      </c>
      <c r="E20" s="95">
        <v>16</v>
      </c>
      <c r="F20" s="95" t="str">
        <f t="shared" si="1"/>
        <v>Westpower</v>
      </c>
      <c r="G20" s="140" t="str">
        <f>IF(VLOOKUP(F20,$U$5:$V$33,2,FALSE)="DPP",INDEX(Output!$A$20:$AH$29,MATCH(F$4,Output!$A$20:$A$29,0),MATCH(F20,Output!$A$20:$AH$20,0))*100,"")</f>
        <v/>
      </c>
      <c r="H20" s="140">
        <f>IF(VLOOKUP(F20,$U$5:$V$33,2,FALSE)="ID",INDEX(Output!$A$20:$AH$29,MATCH(F$4,Output!$A$20:$A$29,0),MATCH(F20,Output!$A$20:$AH$20,0))*100,"")</f>
        <v>9.3159735418259171</v>
      </c>
      <c r="I20" s="140" t="str">
        <f>IF(VLOOKUP(F20,$U$5:$V$33,2,FALSE)="CPP",INDEX(Output!$A$20:$AH$29,MATCH(F$4,Output!$A$20:$A$29,0),MATCH(F20,Output!$A$20:$AH$20,0))*100,"")</f>
        <v/>
      </c>
      <c r="J20" s="112"/>
      <c r="K20" s="95">
        <f t="shared" si="2"/>
        <v>12</v>
      </c>
      <c r="L20" s="95" t="s">
        <v>24</v>
      </c>
      <c r="M20" s="140">
        <f>INDEX(Output!$A$20:$AH$29,MATCH(L$4,Output!$A$20:$A$29,0),MATCH($C20,Output!$A$20:$AH$20,0))*100</f>
        <v>47.358204613319984</v>
      </c>
      <c r="N20" s="95">
        <v>16</v>
      </c>
      <c r="O20" s="95" t="str">
        <f t="shared" si="3"/>
        <v>Buller Electricity</v>
      </c>
      <c r="P20" s="140" t="str">
        <f>IF(VLOOKUP(O20,$U$5:$V$33,2,FALSE)="DPP",INDEX(Output!$A$20:$AH$29,MATCH(O$4,Output!$A$20:$A$29,0),MATCH(O20,Output!$A$20:$AH$20,0))*100,"")</f>
        <v/>
      </c>
      <c r="Q20" s="140">
        <f>IF(VLOOKUP(O20,$U$5:$V$33,2,FALSE)="ID",INDEX(Output!$A$20:$AH$29,MATCH(O$4,Output!$A$20:$A$29,0),MATCH(O20,Output!$A$20:$AH$20,0))*100,"")</f>
        <v>38.070014874355174</v>
      </c>
      <c r="R20" s="140" t="str">
        <f>IF(VLOOKUP(O20,$U$5:$V$33,2,FALSE)="CPP",INDEX(Output!$A$20:$AH$29,MATCH(O$4,Output!$A$20:$A$29,0),MATCH(O20,Output!$A$20:$AH$20,0))*100,"")</f>
        <v/>
      </c>
      <c r="S20" s="68"/>
      <c r="T20" s="68"/>
      <c r="U20" s="135" t="s">
        <v>24</v>
      </c>
      <c r="V20" s="78" t="s">
        <v>179</v>
      </c>
      <c r="W20" s="68"/>
      <c r="Z20" s="68"/>
    </row>
    <row r="21" spans="1:26" x14ac:dyDescent="0.25">
      <c r="A21" s="68"/>
      <c r="B21" s="95">
        <f t="shared" si="0"/>
        <v>15</v>
      </c>
      <c r="C21" s="95" t="s">
        <v>25</v>
      </c>
      <c r="D21" s="140">
        <f>INDEX(Output!$A$20:$AH$29,MATCH(C$4,Output!$A$20:$A$29,0),MATCH($C21,Output!$A$20:$AH$20,0))*100</f>
        <v>13.065027604569179</v>
      </c>
      <c r="E21" s="95">
        <v>17</v>
      </c>
      <c r="F21" s="95" t="str">
        <f t="shared" si="1"/>
        <v>Network Tasman</v>
      </c>
      <c r="G21" s="140">
        <f>IF(VLOOKUP(F21,$U$5:$V$33,2,FALSE)="DPP",INDEX(Output!$A$20:$AH$29,MATCH(F$4,Output!$A$20:$A$29,0),MATCH(F21,Output!$A$20:$AH$20,0))*100,"")</f>
        <v>9.0679530148082055</v>
      </c>
      <c r="H21" s="140" t="str">
        <f>IF(VLOOKUP(F21,$U$5:$V$33,2,FALSE)="ID",INDEX(Output!$A$20:$AH$29,MATCH(F$4,Output!$A$20:$A$29,0),MATCH(F21,Output!$A$20:$AH$20,0))*100,"")</f>
        <v/>
      </c>
      <c r="I21" s="140" t="str">
        <f>IF(VLOOKUP(F21,$U$5:$V$33,2,FALSE)="CPP",INDEX(Output!$A$20:$AH$29,MATCH(F$4,Output!$A$20:$A$29,0),MATCH(F21,Output!$A$20:$AH$20,0))*100,"")</f>
        <v/>
      </c>
      <c r="J21" s="112"/>
      <c r="K21" s="95">
        <f t="shared" si="2"/>
        <v>8</v>
      </c>
      <c r="L21" s="95" t="s">
        <v>25</v>
      </c>
      <c r="M21" s="140">
        <f>INDEX(Output!$A$20:$AH$29,MATCH(L$4,Output!$A$20:$A$29,0),MATCH($C21,Output!$A$20:$AH$20,0))*100</f>
        <v>73.62039393048218</v>
      </c>
      <c r="N21" s="95">
        <v>17</v>
      </c>
      <c r="O21" s="95" t="str">
        <f t="shared" si="3"/>
        <v>WEL Networks</v>
      </c>
      <c r="P21" s="140" t="str">
        <f>IF(VLOOKUP(O21,$U$5:$V$33,2,FALSE)="DPP",INDEX(Output!$A$20:$AH$29,MATCH(O$4,Output!$A$20:$A$29,0),MATCH(O21,Output!$A$20:$AH$20,0))*100,"")</f>
        <v/>
      </c>
      <c r="Q21" s="140">
        <f>IF(VLOOKUP(O21,$U$5:$V$33,2,FALSE)="ID",INDEX(Output!$A$20:$AH$29,MATCH(O$4,Output!$A$20:$A$29,0),MATCH(O21,Output!$A$20:$AH$20,0))*100,"")</f>
        <v>30.14047193656879</v>
      </c>
      <c r="R21" s="140" t="str">
        <f>IF(VLOOKUP(O21,$U$5:$V$33,2,FALSE)="CPP",INDEX(Output!$A$20:$AH$29,MATCH(O$4,Output!$A$20:$A$29,0),MATCH(O21,Output!$A$20:$AH$20,0))*100,"")</f>
        <v/>
      </c>
      <c r="S21" s="68"/>
      <c r="T21" s="68"/>
      <c r="U21" s="135" t="s">
        <v>25</v>
      </c>
      <c r="V21" s="78" t="s">
        <v>180</v>
      </c>
      <c r="W21" s="68"/>
      <c r="Z21" s="68"/>
    </row>
    <row r="22" spans="1:26" x14ac:dyDescent="0.25">
      <c r="A22" s="68"/>
      <c r="B22" s="95">
        <f t="shared" si="0"/>
        <v>2</v>
      </c>
      <c r="C22" s="95" t="s">
        <v>26</v>
      </c>
      <c r="D22" s="140">
        <f>INDEX(Output!$A$20:$AH$29,MATCH(C$4,Output!$A$20:$A$29,0),MATCH($C22,Output!$A$20:$AH$20,0))*100</f>
        <v>35.495740053923441</v>
      </c>
      <c r="E22" s="95">
        <v>18</v>
      </c>
      <c r="F22" s="95" t="str">
        <f t="shared" si="1"/>
        <v>WEL Networks</v>
      </c>
      <c r="G22" s="140" t="str">
        <f>IF(VLOOKUP(F22,$U$5:$V$33,2,FALSE)="DPP",INDEX(Output!$A$20:$AH$29,MATCH(F$4,Output!$A$20:$A$29,0),MATCH(F22,Output!$A$20:$AH$20,0))*100,"")</f>
        <v/>
      </c>
      <c r="H22" s="140">
        <f>IF(VLOOKUP(F22,$U$5:$V$33,2,FALSE)="ID",INDEX(Output!$A$20:$AH$29,MATCH(F$4,Output!$A$20:$A$29,0),MATCH(F22,Output!$A$20:$AH$20,0))*100,"")</f>
        <v>8.5523689228857549</v>
      </c>
      <c r="I22" s="140" t="str">
        <f>IF(VLOOKUP(F22,$U$5:$V$33,2,FALSE)="CPP",INDEX(Output!$A$20:$AH$29,MATCH(F$4,Output!$A$20:$A$29,0),MATCH(F22,Output!$A$20:$AH$20,0))*100,"")</f>
        <v/>
      </c>
      <c r="J22" s="112"/>
      <c r="K22" s="95">
        <f t="shared" si="2"/>
        <v>15</v>
      </c>
      <c r="L22" s="95" t="s">
        <v>26</v>
      </c>
      <c r="M22" s="140">
        <f>INDEX(Output!$A$20:$AH$29,MATCH(L$4,Output!$A$20:$A$29,0),MATCH($C22,Output!$A$20:$AH$20,0))*100</f>
        <v>39.797740843169493</v>
      </c>
      <c r="N22" s="95">
        <v>18</v>
      </c>
      <c r="O22" s="95" t="str">
        <f t="shared" si="3"/>
        <v>The Power Company</v>
      </c>
      <c r="P22" s="140" t="str">
        <f>IF(VLOOKUP(O22,$U$5:$V$33,2,FALSE)="DPP",INDEX(Output!$A$20:$AH$29,MATCH(O$4,Output!$A$20:$A$29,0),MATCH(O22,Output!$A$20:$AH$20,0))*100,"")</f>
        <v/>
      </c>
      <c r="Q22" s="140">
        <f>IF(VLOOKUP(O22,$U$5:$V$33,2,FALSE)="ID",INDEX(Output!$A$20:$AH$29,MATCH(O$4,Output!$A$20:$A$29,0),MATCH(O22,Output!$A$20:$AH$20,0))*100,"")</f>
        <v>28.912201128301529</v>
      </c>
      <c r="R22" s="140" t="str">
        <f>IF(VLOOKUP(O22,$U$5:$V$33,2,FALSE)="CPP",INDEX(Output!$A$20:$AH$29,MATCH(O$4,Output!$A$20:$A$29,0),MATCH(O22,Output!$A$20:$AH$20,0))*100,"")</f>
        <v/>
      </c>
      <c r="S22" s="68"/>
      <c r="T22" s="68"/>
      <c r="U22" s="135" t="s">
        <v>26</v>
      </c>
      <c r="V22" s="78" t="s">
        <v>178</v>
      </c>
      <c r="W22" s="68"/>
      <c r="Z22" s="68"/>
    </row>
    <row r="23" spans="1:26" x14ac:dyDescent="0.25">
      <c r="A23" s="68"/>
      <c r="B23" s="95">
        <f t="shared" si="0"/>
        <v>21</v>
      </c>
      <c r="C23" s="95" t="s">
        <v>27</v>
      </c>
      <c r="D23" s="140">
        <f>INDEX(Output!$A$20:$AH$29,MATCH(C$4,Output!$A$20:$A$29,0),MATCH($C23,Output!$A$20:$AH$20,0))*100</f>
        <v>7.7598265734194483</v>
      </c>
      <c r="E23" s="95">
        <v>19</v>
      </c>
      <c r="F23" s="95" t="str">
        <f t="shared" si="1"/>
        <v>Nelson Electricity</v>
      </c>
      <c r="G23" s="140">
        <f>IF(VLOOKUP(F23,$U$5:$V$33,2,FALSE)="DPP",INDEX(Output!$A$20:$AH$29,MATCH(F$4,Output!$A$20:$A$29,0),MATCH(F23,Output!$A$20:$AH$20,0))*100,"")</f>
        <v>8.5108585932925251</v>
      </c>
      <c r="H23" s="140" t="str">
        <f>IF(VLOOKUP(F23,$U$5:$V$33,2,FALSE)="ID",INDEX(Output!$A$20:$AH$29,MATCH(F$4,Output!$A$20:$A$29,0),MATCH(F23,Output!$A$20:$AH$20,0))*100,"")</f>
        <v/>
      </c>
      <c r="I23" s="140" t="str">
        <f>IF(VLOOKUP(F23,$U$5:$V$33,2,FALSE)="CPP",INDEX(Output!$A$20:$AH$29,MATCH(F$4,Output!$A$20:$A$29,0),MATCH(F23,Output!$A$20:$AH$20,0))*100,"")</f>
        <v/>
      </c>
      <c r="J23" s="112"/>
      <c r="K23" s="95">
        <f t="shared" si="2"/>
        <v>19</v>
      </c>
      <c r="L23" s="95" t="s">
        <v>27</v>
      </c>
      <c r="M23" s="140">
        <f>INDEX(Output!$A$20:$AH$29,MATCH(L$4,Output!$A$20:$A$29,0),MATCH($C23,Output!$A$20:$AH$20,0))*100</f>
        <v>25.497410023117762</v>
      </c>
      <c r="N23" s="95">
        <v>19</v>
      </c>
      <c r="O23" s="95" t="str">
        <f t="shared" si="3"/>
        <v>Powerco</v>
      </c>
      <c r="P23" s="140">
        <f>IF(VLOOKUP(O23,$U$5:$V$33,2,FALSE)="DPP",INDEX(Output!$A$20:$AH$29,MATCH(O$4,Output!$A$20:$A$29,0),MATCH(O23,Output!$A$20:$AH$20,0))*100,"")</f>
        <v>25.497410023117762</v>
      </c>
      <c r="Q23" s="140" t="str">
        <f>IF(VLOOKUP(O23,$U$5:$V$33,2,FALSE)="ID",INDEX(Output!$A$20:$AH$29,MATCH(O$4,Output!$A$20:$A$29,0),MATCH(O23,Output!$A$20:$AH$20,0))*100,"")</f>
        <v/>
      </c>
      <c r="R23" s="140" t="str">
        <f>IF(VLOOKUP(O23,$U$5:$V$33,2,FALSE)="CPP",INDEX(Output!$A$20:$AH$29,MATCH(O$4,Output!$A$20:$A$29,0),MATCH(O23,Output!$A$20:$AH$20,0))*100,"")</f>
        <v/>
      </c>
      <c r="S23" s="68"/>
      <c r="T23" s="68"/>
      <c r="U23" s="135" t="s">
        <v>27</v>
      </c>
      <c r="V23" s="78" t="s">
        <v>178</v>
      </c>
      <c r="W23" s="68"/>
      <c r="Z23" s="68"/>
    </row>
    <row r="24" spans="1:26" x14ac:dyDescent="0.25">
      <c r="A24" s="68"/>
      <c r="B24" s="95">
        <f t="shared" si="0"/>
        <v>22</v>
      </c>
      <c r="C24" s="95" t="s">
        <v>169</v>
      </c>
      <c r="D24" s="140">
        <f>INDEX(Output!$A$20:$AH$29,MATCH(C$4,Output!$A$20:$A$29,0),MATCH($C24,Output!$A$20:$AH$20,0))*100</f>
        <v>7.0653130024762367</v>
      </c>
      <c r="E24" s="95">
        <v>20</v>
      </c>
      <c r="F24" s="95" t="str">
        <f t="shared" si="1"/>
        <v>Electricity Invercargill</v>
      </c>
      <c r="G24" s="140">
        <f>IF(VLOOKUP(F24,$U$5:$V$33,2,FALSE)="DPP",INDEX(Output!$A$20:$AH$29,MATCH(F$4,Output!$A$20:$A$29,0),MATCH(F24,Output!$A$20:$AH$20,0))*100,"")</f>
        <v>7.9952780278018887</v>
      </c>
      <c r="H24" s="140" t="str">
        <f>IF(VLOOKUP(F24,$U$5:$V$33,2,FALSE)="ID",INDEX(Output!$A$20:$AH$29,MATCH(F$4,Output!$A$20:$A$29,0),MATCH(F24,Output!$A$20:$AH$20,0))*100,"")</f>
        <v/>
      </c>
      <c r="I24" s="140" t="str">
        <f>IF(VLOOKUP(F24,$U$5:$V$33,2,FALSE)="CPP",INDEX(Output!$A$20:$AH$29,MATCH(F$4,Output!$A$20:$A$29,0),MATCH(F24,Output!$A$20:$AH$20,0))*100,"")</f>
        <v/>
      </c>
      <c r="J24" s="112"/>
      <c r="K24" s="95">
        <f t="shared" si="2"/>
        <v>6</v>
      </c>
      <c r="L24" s="95" t="s">
        <v>169</v>
      </c>
      <c r="M24" s="140">
        <f>INDEX(Output!$A$20:$AH$29,MATCH(L$4,Output!$A$20:$A$29,0),MATCH($C24,Output!$A$20:$AH$20,0))*100</f>
        <v>82.757522980719571</v>
      </c>
      <c r="N24" s="95">
        <v>20</v>
      </c>
      <c r="O24" s="95" t="str">
        <f t="shared" si="3"/>
        <v>Electricity Ashburton</v>
      </c>
      <c r="P24" s="140">
        <f>IF(VLOOKUP(O24,$U$5:$V$33,2,FALSE)="DPP",INDEX(Output!$A$20:$AH$29,MATCH(O$4,Output!$A$20:$A$29,0),MATCH(O24,Output!$A$20:$AH$20,0))*100,"")</f>
        <v>25.204380379628887</v>
      </c>
      <c r="Q24" s="140" t="str">
        <f>IF(VLOOKUP(O24,$U$5:$V$33,2,FALSE)="ID",INDEX(Output!$A$20:$AH$29,MATCH(O$4,Output!$A$20:$A$29,0),MATCH(O24,Output!$A$20:$AH$20,0))*100,"")</f>
        <v/>
      </c>
      <c r="R24" s="140" t="str">
        <f>IF(VLOOKUP(O24,$U$5:$V$33,2,FALSE)="CPP",INDEX(Output!$A$20:$AH$29,MATCH(O$4,Output!$A$20:$A$29,0),MATCH(O24,Output!$A$20:$AH$20,0))*100,"")</f>
        <v/>
      </c>
      <c r="S24" s="68"/>
      <c r="T24" s="68"/>
      <c r="U24" s="135" t="s">
        <v>169</v>
      </c>
      <c r="V24" s="78" t="s">
        <v>179</v>
      </c>
      <c r="W24" s="68"/>
      <c r="Z24" s="68"/>
    </row>
    <row r="25" spans="1:26" x14ac:dyDescent="0.25">
      <c r="A25" s="68"/>
      <c r="B25" s="95">
        <f t="shared" si="0"/>
        <v>1</v>
      </c>
      <c r="C25" s="95" t="s">
        <v>29</v>
      </c>
      <c r="D25" s="140">
        <f>INDEX(Output!$A$20:$AH$29,MATCH(C$4,Output!$A$20:$A$29,0),MATCH($C25,Output!$A$20:$AH$20,0))*100</f>
        <v>39.780186821643035</v>
      </c>
      <c r="E25" s="95">
        <v>21</v>
      </c>
      <c r="F25" s="95" t="str">
        <f t="shared" si="1"/>
        <v>Powerco</v>
      </c>
      <c r="G25" s="140">
        <f>IF(VLOOKUP(F25,$U$5:$V$33,2,FALSE)="DPP",INDEX(Output!$A$20:$AH$29,MATCH(F$4,Output!$A$20:$A$29,0),MATCH(F25,Output!$A$20:$AH$20,0))*100,"")</f>
        <v>7.7598265734194483</v>
      </c>
      <c r="H25" s="140" t="str">
        <f>IF(VLOOKUP(F25,$U$5:$V$33,2,FALSE)="ID",INDEX(Output!$A$20:$AH$29,MATCH(F$4,Output!$A$20:$A$29,0),MATCH(F25,Output!$A$20:$AH$20,0))*100,"")</f>
        <v/>
      </c>
      <c r="I25" s="140" t="str">
        <f>IF(VLOOKUP(F25,$U$5:$V$33,2,FALSE)="CPP",INDEX(Output!$A$20:$AH$29,MATCH(F$4,Output!$A$20:$A$29,0),MATCH(F25,Output!$A$20:$AH$20,0))*100,"")</f>
        <v/>
      </c>
      <c r="J25" s="112"/>
      <c r="K25" s="95">
        <f t="shared" si="2"/>
        <v>22</v>
      </c>
      <c r="L25" s="95" t="s">
        <v>29</v>
      </c>
      <c r="M25" s="140">
        <f>INDEX(Output!$A$20:$AH$29,MATCH(L$4,Output!$A$20:$A$29,0),MATCH($C25,Output!$A$20:$AH$20,0))*100</f>
        <v>11.277323029744114</v>
      </c>
      <c r="N25" s="95">
        <v>21</v>
      </c>
      <c r="O25" s="95" t="str">
        <f t="shared" si="3"/>
        <v>Vector Lines</v>
      </c>
      <c r="P25" s="140">
        <f>IF(VLOOKUP(O25,$U$5:$V$33,2,FALSE)="DPP",INDEX(Output!$A$20:$AH$29,MATCH(O$4,Output!$A$20:$A$29,0),MATCH(O25,Output!$A$20:$AH$20,0))*100,"")</f>
        <v>17.827738541378977</v>
      </c>
      <c r="Q25" s="140" t="str">
        <f>IF(VLOOKUP(O25,$U$5:$V$33,2,FALSE)="ID",INDEX(Output!$A$20:$AH$29,MATCH(O$4,Output!$A$20:$A$29,0),MATCH(O25,Output!$A$20:$AH$20,0))*100,"")</f>
        <v/>
      </c>
      <c r="R25" s="140" t="str">
        <f>IF(VLOOKUP(O25,$U$5:$V$33,2,FALSE)="CPP",INDEX(Output!$A$20:$AH$29,MATCH(O$4,Output!$A$20:$A$29,0),MATCH(O25,Output!$A$20:$AH$20,0))*100,"")</f>
        <v/>
      </c>
      <c r="S25" s="68"/>
      <c r="T25" s="68"/>
      <c r="U25" s="135" t="s">
        <v>29</v>
      </c>
      <c r="V25" s="78" t="s">
        <v>178</v>
      </c>
      <c r="W25" s="68"/>
      <c r="Z25" s="68"/>
    </row>
    <row r="26" spans="1:26" x14ac:dyDescent="0.25">
      <c r="A26" s="68"/>
      <c r="B26" s="95">
        <f t="shared" si="0"/>
        <v>11</v>
      </c>
      <c r="C26" s="95" t="s">
        <v>30</v>
      </c>
      <c r="D26" s="140">
        <f>INDEX(Output!$A$20:$AH$29,MATCH(C$4,Output!$A$20:$A$29,0),MATCH($C26,Output!$A$20:$AH$20,0))*100</f>
        <v>20.203193471806237</v>
      </c>
      <c r="E26" s="95">
        <v>22</v>
      </c>
      <c r="F26" s="95" t="str">
        <f t="shared" si="1"/>
        <v>Scanpower</v>
      </c>
      <c r="G26" s="140" t="str">
        <f>IF(VLOOKUP(F26,$U$5:$V$33,2,FALSE)="DPP",INDEX(Output!$A$20:$AH$29,MATCH(F$4,Output!$A$20:$A$29,0),MATCH(F26,Output!$A$20:$AH$20,0))*100,"")</f>
        <v/>
      </c>
      <c r="H26" s="140">
        <f>IF(VLOOKUP(F26,$U$5:$V$33,2,FALSE)="ID",INDEX(Output!$A$20:$AH$29,MATCH(F$4,Output!$A$20:$A$29,0),MATCH(F26,Output!$A$20:$AH$20,0))*100,"")</f>
        <v>7.0653130024762367</v>
      </c>
      <c r="I26" s="140" t="str">
        <f>IF(VLOOKUP(F26,$U$5:$V$33,2,FALSE)="CPP",INDEX(Output!$A$20:$AH$29,MATCH(F$4,Output!$A$20:$A$29,0),MATCH(F26,Output!$A$20:$AH$20,0))*100,"")</f>
        <v/>
      </c>
      <c r="J26" s="112"/>
      <c r="K26" s="95">
        <f t="shared" si="2"/>
        <v>18</v>
      </c>
      <c r="L26" s="95" t="s">
        <v>30</v>
      </c>
      <c r="M26" s="140">
        <f>INDEX(Output!$A$20:$AH$29,MATCH(L$4,Output!$A$20:$A$29,0),MATCH($C26,Output!$A$20:$AH$20,0))*100</f>
        <v>28.912201128301529</v>
      </c>
      <c r="N26" s="95">
        <v>22</v>
      </c>
      <c r="O26" s="95" t="str">
        <f t="shared" si="3"/>
        <v>The Lines Company</v>
      </c>
      <c r="P26" s="140">
        <f>IF(VLOOKUP(O26,$U$5:$V$33,2,FALSE)="DPP",INDEX(Output!$A$20:$AH$29,MATCH(O$4,Output!$A$20:$A$29,0),MATCH(O26,Output!$A$20:$AH$20,0))*100,"")</f>
        <v>11.277323029744114</v>
      </c>
      <c r="Q26" s="140" t="str">
        <f>IF(VLOOKUP(O26,$U$5:$V$33,2,FALSE)="ID",INDEX(Output!$A$20:$AH$29,MATCH(O$4,Output!$A$20:$A$29,0),MATCH(O26,Output!$A$20:$AH$20,0))*100,"")</f>
        <v/>
      </c>
      <c r="R26" s="140" t="str">
        <f>IF(VLOOKUP(O26,$U$5:$V$33,2,FALSE)="CPP",INDEX(Output!$A$20:$AH$29,MATCH(O$4,Output!$A$20:$A$29,0),MATCH(O26,Output!$A$20:$AH$20,0))*100,"")</f>
        <v/>
      </c>
      <c r="S26" s="68"/>
      <c r="T26" s="68"/>
      <c r="U26" s="135" t="s">
        <v>30</v>
      </c>
      <c r="V26" s="78" t="s">
        <v>179</v>
      </c>
      <c r="W26" s="68"/>
      <c r="Z26" s="68"/>
    </row>
    <row r="27" spans="1:26" x14ac:dyDescent="0.25">
      <c r="A27" s="68"/>
      <c r="B27" s="95">
        <f t="shared" si="0"/>
        <v>24</v>
      </c>
      <c r="C27" s="95" t="s">
        <v>31</v>
      </c>
      <c r="D27" s="140">
        <f>INDEX(Output!$A$20:$AH$29,MATCH(C$4,Output!$A$20:$A$29,0),MATCH($C27,Output!$A$20:$AH$20,0))*100</f>
        <v>5.5900157116412608</v>
      </c>
      <c r="E27" s="95">
        <v>23</v>
      </c>
      <c r="F27" s="95" t="str">
        <f t="shared" si="1"/>
        <v>Horizon Energy</v>
      </c>
      <c r="G27" s="140">
        <f>IF(VLOOKUP(F27,$U$5:$V$33,2,FALSE)="DPP",INDEX(Output!$A$20:$AH$29,MATCH(F$4,Output!$A$20:$A$29,0),MATCH(F27,Output!$A$20:$AH$20,0))*100,"")</f>
        <v>6.522656654355008</v>
      </c>
      <c r="H27" s="140" t="str">
        <f>IF(VLOOKUP(F27,$U$5:$V$33,2,FALSE)="ID",INDEX(Output!$A$20:$AH$29,MATCH(F$4,Output!$A$20:$A$29,0),MATCH(F27,Output!$A$20:$AH$20,0))*100,"")</f>
        <v/>
      </c>
      <c r="I27" s="140" t="str">
        <f>IF(VLOOKUP(F27,$U$5:$V$33,2,FALSE)="CPP",INDEX(Output!$A$20:$AH$29,MATCH(F$4,Output!$A$20:$A$29,0),MATCH(F27,Output!$A$20:$AH$20,0))*100,"")</f>
        <v/>
      </c>
      <c r="J27" s="112"/>
      <c r="K27" s="95">
        <f t="shared" si="2"/>
        <v>3</v>
      </c>
      <c r="L27" s="95" t="s">
        <v>31</v>
      </c>
      <c r="M27" s="140">
        <f>INDEX(Output!$A$20:$AH$29,MATCH(L$4,Output!$A$20:$A$29,0),MATCH($C27,Output!$A$20:$AH$20,0))*100</f>
        <v>103.28695762809912</v>
      </c>
      <c r="N27" s="95">
        <v>23</v>
      </c>
      <c r="O27" s="95" t="str">
        <f t="shared" si="3"/>
        <v>Unison Networks</v>
      </c>
      <c r="P27" s="140">
        <f>IF(VLOOKUP(O27,$U$5:$V$33,2,FALSE)="DPP",INDEX(Output!$A$20:$AH$29,MATCH(O$4,Output!$A$20:$A$29,0),MATCH(O27,Output!$A$20:$AH$20,0))*100,"")</f>
        <v>10.829479922586248</v>
      </c>
      <c r="Q27" s="140" t="str">
        <f>IF(VLOOKUP(O27,$U$5:$V$33,2,FALSE)="ID",INDEX(Output!$A$20:$AH$29,MATCH(O$4,Output!$A$20:$A$29,0),MATCH(O27,Output!$A$20:$AH$20,0))*100,"")</f>
        <v/>
      </c>
      <c r="R27" s="140" t="str">
        <f>IF(VLOOKUP(O27,$U$5:$V$33,2,FALSE)="CPP",INDEX(Output!$A$20:$AH$29,MATCH(O$4,Output!$A$20:$A$29,0),MATCH(O27,Output!$A$20:$AH$20,0))*100,"")</f>
        <v/>
      </c>
      <c r="S27" s="68"/>
      <c r="T27" s="68"/>
      <c r="U27" s="135" t="s">
        <v>31</v>
      </c>
      <c r="V27" s="78" t="s">
        <v>178</v>
      </c>
      <c r="W27" s="68"/>
      <c r="Z27" s="68"/>
    </row>
    <row r="28" spans="1:26" x14ac:dyDescent="0.25">
      <c r="A28" s="68"/>
      <c r="B28" s="95">
        <f t="shared" si="0"/>
        <v>7</v>
      </c>
      <c r="C28" s="95" t="s">
        <v>165</v>
      </c>
      <c r="D28" s="140">
        <f>INDEX(Output!$A$20:$AH$29,MATCH(C$4,Output!$A$20:$A$29,0),MATCH($C28,Output!$A$20:$AH$20,0))*100</f>
        <v>27.453156880651175</v>
      </c>
      <c r="E28" s="95">
        <v>24</v>
      </c>
      <c r="F28" s="95" t="str">
        <f t="shared" si="1"/>
        <v>Top Energy</v>
      </c>
      <c r="G28" s="140">
        <f>IF(VLOOKUP(F28,$U$5:$V$33,2,FALSE)="DPP",INDEX(Output!$A$20:$AH$29,MATCH(F$4,Output!$A$20:$A$29,0),MATCH(F28,Output!$A$20:$AH$20,0))*100,"")</f>
        <v>5.5900157116412608</v>
      </c>
      <c r="H28" s="140" t="str">
        <f>IF(VLOOKUP(F28,$U$5:$V$33,2,FALSE)="ID",INDEX(Output!$A$20:$AH$29,MATCH(F$4,Output!$A$20:$A$29,0),MATCH(F28,Output!$A$20:$AH$20,0))*100,"")</f>
        <v/>
      </c>
      <c r="I28" s="140" t="str">
        <f>IF(VLOOKUP(F28,$U$5:$V$33,2,FALSE)="CPP",INDEX(Output!$A$20:$AH$29,MATCH(F$4,Output!$A$20:$A$29,0),MATCH(F28,Output!$A$20:$AH$20,0))*100,"")</f>
        <v/>
      </c>
      <c r="J28" s="112"/>
      <c r="K28" s="95">
        <f t="shared" si="2"/>
        <v>23</v>
      </c>
      <c r="L28" s="95" t="s">
        <v>165</v>
      </c>
      <c r="M28" s="140">
        <f>INDEX(Output!$A$20:$AH$29,MATCH(L$4,Output!$A$20:$A$29,0),MATCH($C28,Output!$A$20:$AH$20,0))*100</f>
        <v>10.829479922586248</v>
      </c>
      <c r="N28" s="95">
        <v>24</v>
      </c>
      <c r="O28" s="95" t="str">
        <f t="shared" si="3"/>
        <v>Wellington Electricity</v>
      </c>
      <c r="P28" s="140">
        <f>IF(VLOOKUP(O28,$U$5:$V$33,2,FALSE)="DPP",INDEX(Output!$A$20:$AH$29,MATCH(O$4,Output!$A$20:$A$29,0),MATCH(O28,Output!$A$20:$AH$20,0))*100,"")</f>
        <v>3.5878454241121238</v>
      </c>
      <c r="Q28" s="140" t="str">
        <f>IF(VLOOKUP(O28,$U$5:$V$33,2,FALSE)="ID",INDEX(Output!$A$20:$AH$29,MATCH(O$4,Output!$A$20:$A$29,0),MATCH(O28,Output!$A$20:$AH$20,0))*100,"")</f>
        <v/>
      </c>
      <c r="R28" s="140" t="str">
        <f>IF(VLOOKUP(O28,$U$5:$V$33,2,FALSE)="CPP",INDEX(Output!$A$20:$AH$29,MATCH(O$4,Output!$A$20:$A$29,0),MATCH(O28,Output!$A$20:$AH$20,0))*100,"")</f>
        <v/>
      </c>
      <c r="S28" s="68"/>
      <c r="T28" s="68"/>
      <c r="U28" s="135" t="s">
        <v>165</v>
      </c>
      <c r="V28" s="78" t="s">
        <v>178</v>
      </c>
      <c r="W28" s="68"/>
      <c r="Z28" s="68"/>
    </row>
    <row r="29" spans="1:26" x14ac:dyDescent="0.25">
      <c r="A29" s="68"/>
      <c r="B29" s="95">
        <f t="shared" si="0"/>
        <v>12</v>
      </c>
      <c r="C29" s="95" t="s">
        <v>167</v>
      </c>
      <c r="D29" s="140">
        <f>INDEX(Output!$A$20:$AH$29,MATCH(C$4,Output!$A$20:$A$29,0),MATCH($C29,Output!$A$20:$AH$20,0))*100</f>
        <v>15.116302809212613</v>
      </c>
      <c r="E29" s="95">
        <v>25</v>
      </c>
      <c r="F29" s="95" t="str">
        <f t="shared" si="1"/>
        <v>Counties Power</v>
      </c>
      <c r="G29" s="140" t="str">
        <f>IF(VLOOKUP(F29,$U$5:$V$33,2,FALSE)="DPP",INDEX(Output!$A$20:$AH$29,MATCH(F$4,Output!$A$20:$A$29,0),MATCH(F29,Output!$A$20:$AH$20,0))*100,"")</f>
        <v/>
      </c>
      <c r="H29" s="140">
        <f>IF(VLOOKUP(F29,$U$5:$V$33,2,FALSE)="ID",INDEX(Output!$A$20:$AH$29,MATCH(F$4,Output!$A$20:$A$29,0),MATCH(F29,Output!$A$20:$AH$20,0))*100,"")</f>
        <v>4.6586055520124514</v>
      </c>
      <c r="I29" s="140" t="str">
        <f>IF(VLOOKUP(F29,$U$5:$V$33,2,FALSE)="CPP",INDEX(Output!$A$20:$AH$29,MATCH(F$4,Output!$A$20:$A$29,0),MATCH(F29,Output!$A$20:$AH$20,0))*100,"")</f>
        <v/>
      </c>
      <c r="J29" s="112"/>
      <c r="K29" s="95">
        <f t="shared" si="2"/>
        <v>21</v>
      </c>
      <c r="L29" s="95" t="s">
        <v>167</v>
      </c>
      <c r="M29" s="140">
        <f>INDEX(Output!$A$20:$AH$29,MATCH(L$4,Output!$A$20:$A$29,0),MATCH($C29,Output!$A$20:$AH$20,0))*100</f>
        <v>17.827738541378977</v>
      </c>
      <c r="N29" s="95">
        <v>25</v>
      </c>
      <c r="O29" s="95" t="str">
        <f t="shared" si="3"/>
        <v>Electra</v>
      </c>
      <c r="P29" s="140" t="str">
        <f>IF(VLOOKUP(O29,$U$5:$V$33,2,FALSE)="DPP",INDEX(Output!$A$20:$AH$29,MATCH(O$4,Output!$A$20:$A$29,0),MATCH(O29,Output!$A$20:$AH$20,0))*100,"")</f>
        <v/>
      </c>
      <c r="Q29" s="140">
        <f>IF(VLOOKUP(O29,$U$5:$V$33,2,FALSE)="ID",INDEX(Output!$A$20:$AH$29,MATCH(O$4,Output!$A$20:$A$29,0),MATCH(O29,Output!$A$20:$AH$20,0))*100,"")</f>
        <v>3.4973151276753933</v>
      </c>
      <c r="R29" s="140" t="str">
        <f>IF(VLOOKUP(O29,$U$5:$V$33,2,FALSE)="CPP",INDEX(Output!$A$20:$AH$29,MATCH(O$4,Output!$A$20:$A$29,0),MATCH(O29,Output!$A$20:$AH$20,0))*100,"")</f>
        <v/>
      </c>
      <c r="S29" s="68"/>
      <c r="T29" s="68"/>
      <c r="U29" s="135" t="s">
        <v>167</v>
      </c>
      <c r="V29" s="78" t="s">
        <v>178</v>
      </c>
      <c r="W29" s="68"/>
      <c r="Z29" s="68"/>
    </row>
    <row r="30" spans="1:26" x14ac:dyDescent="0.25">
      <c r="A30" s="68"/>
      <c r="B30" s="95">
        <f t="shared" si="0"/>
        <v>18</v>
      </c>
      <c r="C30" s="95" t="s">
        <v>32</v>
      </c>
      <c r="D30" s="140">
        <f>INDEX(Output!$A$20:$AH$29,MATCH(C$4,Output!$A$20:$A$29,0),MATCH($C30,Output!$A$20:$AH$20,0))*100</f>
        <v>8.5523689228857549</v>
      </c>
      <c r="E30" s="95">
        <v>26</v>
      </c>
      <c r="F30" s="95" t="str">
        <f t="shared" si="1"/>
        <v>Waipa Network</v>
      </c>
      <c r="G30" s="140" t="str">
        <f>IF(VLOOKUP(F30,$U$5:$V$33,2,FALSE)="DPP",INDEX(Output!$A$20:$AH$29,MATCH(F$4,Output!$A$20:$A$29,0),MATCH(F30,Output!$A$20:$AH$20,0))*100,"")</f>
        <v/>
      </c>
      <c r="H30" s="140">
        <f>IF(VLOOKUP(F30,$U$5:$V$33,2,FALSE)="ID",INDEX(Output!$A$20:$AH$29,MATCH(F$4,Output!$A$20:$A$29,0),MATCH(F30,Output!$A$20:$AH$20,0))*100,"")</f>
        <v>-2.2034303221174278</v>
      </c>
      <c r="I30" s="140" t="str">
        <f>IF(VLOOKUP(F30,$U$5:$V$33,2,FALSE)="CPP",INDEX(Output!$A$20:$AH$29,MATCH(F$4,Output!$A$20:$A$29,0),MATCH(F30,Output!$A$20:$AH$20,0))*100,"")</f>
        <v/>
      </c>
      <c r="J30" s="112"/>
      <c r="K30" s="95">
        <f t="shared" si="2"/>
        <v>17</v>
      </c>
      <c r="L30" s="95" t="s">
        <v>32</v>
      </c>
      <c r="M30" s="140">
        <f>INDEX(Output!$A$20:$AH$29,MATCH(L$4,Output!$A$20:$A$29,0),MATCH($C30,Output!$A$20:$AH$20,0))*100</f>
        <v>30.14047193656879</v>
      </c>
      <c r="N30" s="95">
        <v>26</v>
      </c>
      <c r="O30" s="95" t="str">
        <f t="shared" si="3"/>
        <v>Aurora Energy</v>
      </c>
      <c r="P30" s="140">
        <f>IF(VLOOKUP(O30,$U$5:$V$33,2,FALSE)="DPP",INDEX(Output!$A$20:$AH$29,MATCH(O$4,Output!$A$20:$A$29,0),MATCH(O30,Output!$A$20:$AH$20,0))*100,"")</f>
        <v>2.5139545012709652</v>
      </c>
      <c r="Q30" s="140" t="str">
        <f>IF(VLOOKUP(O30,$U$5:$V$33,2,FALSE)="ID",INDEX(Output!$A$20:$AH$29,MATCH(O$4,Output!$A$20:$A$29,0),MATCH(O30,Output!$A$20:$AH$20,0))*100,"")</f>
        <v/>
      </c>
      <c r="R30" s="140" t="str">
        <f>IF(VLOOKUP(O30,$U$5:$V$33,2,FALSE)="CPP",INDEX(Output!$A$20:$AH$29,MATCH(O$4,Output!$A$20:$A$29,0),MATCH(O30,Output!$A$20:$AH$20,0))*100,"")</f>
        <v/>
      </c>
      <c r="S30" s="68"/>
      <c r="T30" s="68"/>
      <c r="U30" s="135" t="s">
        <v>32</v>
      </c>
      <c r="V30" s="78" t="s">
        <v>179</v>
      </c>
      <c r="W30" s="68"/>
      <c r="Z30" s="68"/>
    </row>
    <row r="31" spans="1:26" x14ac:dyDescent="0.25">
      <c r="A31" s="68"/>
      <c r="B31" s="95">
        <f t="shared" si="0"/>
        <v>26</v>
      </c>
      <c r="C31" s="95" t="s">
        <v>164</v>
      </c>
      <c r="D31" s="140">
        <f>INDEX(Output!$A$20:$AH$29,MATCH(C$4,Output!$A$20:$A$29,0),MATCH($C31,Output!$A$20:$AH$20,0))*100</f>
        <v>-2.2034303221174278</v>
      </c>
      <c r="E31" s="95">
        <v>27</v>
      </c>
      <c r="F31" s="95" t="str">
        <f t="shared" si="1"/>
        <v>Northpower</v>
      </c>
      <c r="G31" s="140" t="str">
        <f>IF(VLOOKUP(F31,$U$5:$V$33,2,FALSE)="DPP",INDEX(Output!$A$20:$AH$29,MATCH(F$4,Output!$A$20:$A$29,0),MATCH(F31,Output!$A$20:$AH$20,0))*100,"")</f>
        <v/>
      </c>
      <c r="H31" s="140">
        <f>IF(VLOOKUP(F31,$U$5:$V$33,2,FALSE)="ID",INDEX(Output!$A$20:$AH$29,MATCH(F$4,Output!$A$20:$A$29,0),MATCH(F31,Output!$A$20:$AH$20,0))*100,"")</f>
        <v>-2.3148134545038279</v>
      </c>
      <c r="I31" s="140" t="str">
        <f>IF(VLOOKUP(F31,$U$5:$V$33,2,FALSE)="CPP",INDEX(Output!$A$20:$AH$29,MATCH(F$4,Output!$A$20:$A$29,0),MATCH(F31,Output!$A$20:$AH$20,0))*100,"")</f>
        <v/>
      </c>
      <c r="J31" s="112"/>
      <c r="K31" s="95">
        <f t="shared" si="2"/>
        <v>13</v>
      </c>
      <c r="L31" s="95" t="s">
        <v>164</v>
      </c>
      <c r="M31" s="140">
        <f>INDEX(Output!$A$20:$AH$29,MATCH(L$4,Output!$A$20:$A$29,0),MATCH($C31,Output!$A$20:$AH$20,0))*100</f>
        <v>44.06091189058867</v>
      </c>
      <c r="N31" s="95">
        <v>27</v>
      </c>
      <c r="O31" s="95" t="str">
        <f t="shared" si="3"/>
        <v>Marlborough Lines</v>
      </c>
      <c r="P31" s="140" t="str">
        <f>IF(VLOOKUP(O31,$U$5:$V$33,2,FALSE)="DPP",INDEX(Output!$A$20:$AH$29,MATCH(O$4,Output!$A$20:$A$29,0),MATCH(O31,Output!$A$20:$AH$20,0))*100,"")</f>
        <v/>
      </c>
      <c r="Q31" s="140">
        <f>IF(VLOOKUP(O31,$U$5:$V$33,2,FALSE)="ID",INDEX(Output!$A$20:$AH$29,MATCH(O$4,Output!$A$20:$A$29,0),MATCH(O31,Output!$A$20:$AH$20,0))*100,"")</f>
        <v>-8.3516723074337875</v>
      </c>
      <c r="R31" s="140" t="str">
        <f>IF(VLOOKUP(O31,$U$5:$V$33,2,FALSE)="CPP",INDEX(Output!$A$20:$AH$29,MATCH(O$4,Output!$A$20:$A$29,0),MATCH(O31,Output!$A$20:$AH$20,0))*100,"")</f>
        <v/>
      </c>
      <c r="S31" s="68"/>
      <c r="T31" s="68"/>
      <c r="U31" s="135" t="s">
        <v>164</v>
      </c>
      <c r="V31" s="78" t="s">
        <v>179</v>
      </c>
      <c r="W31" s="68"/>
      <c r="Z31" s="68"/>
    </row>
    <row r="32" spans="1:26" x14ac:dyDescent="0.25">
      <c r="A32" s="68"/>
      <c r="B32" s="95">
        <f t="shared" si="0"/>
        <v>28</v>
      </c>
      <c r="C32" s="95" t="s">
        <v>33</v>
      </c>
      <c r="D32" s="140">
        <f>INDEX(Output!$A$20:$AH$29,MATCH(C$4,Output!$A$20:$A$29,0),MATCH($C32,Output!$A$20:$AH$20,0))*100</f>
        <v>-6.9076725131581469</v>
      </c>
      <c r="E32" s="95">
        <v>28</v>
      </c>
      <c r="F32" s="95" t="str">
        <f t="shared" si="1"/>
        <v>Wellington Electricity</v>
      </c>
      <c r="G32" s="140">
        <f>IF(VLOOKUP(F32,$U$5:$V$33,2,FALSE)="DPP",INDEX(Output!$A$20:$AH$29,MATCH(F$4,Output!$A$20:$A$29,0),MATCH(F32,Output!$A$20:$AH$20,0))*100,"")</f>
        <v>-6.9076725131581469</v>
      </c>
      <c r="H32" s="140" t="str">
        <f>IF(VLOOKUP(F32,$U$5:$V$33,2,FALSE)="ID",INDEX(Output!$A$20:$AH$29,MATCH(F$4,Output!$A$20:$A$29,0),MATCH(F32,Output!$A$20:$AH$20,0))*100,"")</f>
        <v/>
      </c>
      <c r="I32" s="140" t="str">
        <f>IF(VLOOKUP(F32,$U$5:$V$33,2,FALSE)="CPP",INDEX(Output!$A$20:$AH$29,MATCH(F$4,Output!$A$20:$A$29,0),MATCH(F32,Output!$A$20:$AH$20,0))*100,"")</f>
        <v/>
      </c>
      <c r="J32" s="112"/>
      <c r="K32" s="95">
        <f t="shared" si="2"/>
        <v>24</v>
      </c>
      <c r="L32" s="95" t="s">
        <v>33</v>
      </c>
      <c r="M32" s="140">
        <f>INDEX(Output!$A$20:$AH$29,MATCH(L$4,Output!$A$20:$A$29,0),MATCH($C32,Output!$A$20:$AH$20,0))*100</f>
        <v>3.5878454241121238</v>
      </c>
      <c r="N32" s="95">
        <v>28</v>
      </c>
      <c r="O32" s="95" t="str">
        <f t="shared" si="3"/>
        <v>Centralines</v>
      </c>
      <c r="P32" s="140">
        <f>IF(VLOOKUP(O32,$U$5:$V$33,2,FALSE)="DPP",INDEX(Output!$A$20:$AH$29,MATCH(O$4,Output!$A$20:$A$29,0),MATCH(O32,Output!$A$20:$AH$20,0))*100,"")</f>
        <v>-34.158959604192972</v>
      </c>
      <c r="Q32" s="140" t="str">
        <f>IF(VLOOKUP(O32,$U$5:$V$33,2,FALSE)="ID",INDEX(Output!$A$20:$AH$29,MATCH(O$4,Output!$A$20:$A$29,0),MATCH(O32,Output!$A$20:$AH$20,0))*100,"")</f>
        <v/>
      </c>
      <c r="R32" s="140" t="str">
        <f>IF(VLOOKUP(O32,$U$5:$V$33,2,FALSE)="CPP",INDEX(Output!$A$20:$AH$29,MATCH(O$4,Output!$A$20:$A$29,0),MATCH(O32,Output!$A$20:$AH$20,0))*100,"")</f>
        <v/>
      </c>
      <c r="S32" s="68"/>
      <c r="T32" s="68"/>
      <c r="U32" s="135" t="s">
        <v>33</v>
      </c>
      <c r="V32" s="78" t="s">
        <v>178</v>
      </c>
      <c r="W32" s="68"/>
      <c r="Z32" s="68"/>
    </row>
    <row r="33" spans="1:39" x14ac:dyDescent="0.25">
      <c r="A33" s="68"/>
      <c r="B33" s="95">
        <f t="shared" si="0"/>
        <v>16</v>
      </c>
      <c r="C33" s="95" t="s">
        <v>34</v>
      </c>
      <c r="D33" s="140">
        <f>INDEX(Output!$A$20:$AH$29,MATCH(C$4,Output!$A$20:$A$29,0),MATCH($C33,Output!$A$20:$AH$20,0))*100</f>
        <v>9.3159735418259171</v>
      </c>
      <c r="E33" s="95">
        <v>29</v>
      </c>
      <c r="F33" s="95" t="str">
        <f t="shared" si="1"/>
        <v>Marlborough Lines</v>
      </c>
      <c r="G33" s="140" t="str">
        <f>IF(VLOOKUP(F33,$U$5:$V$33,2,FALSE)="DPP",INDEX(Output!$A$20:$AH$29,MATCH(F$4,Output!$A$20:$A$29,0),MATCH(F33,Output!$A$20:$AH$20,0))*100,"")</f>
        <v/>
      </c>
      <c r="H33" s="140">
        <f>IF(VLOOKUP(F33,$U$5:$V$33,2,FALSE)="ID",INDEX(Output!$A$20:$AH$29,MATCH(F$4,Output!$A$20:$A$29,0),MATCH(F33,Output!$A$20:$AH$20,0))*100,"")</f>
        <v>-22.358772964125151</v>
      </c>
      <c r="I33" s="140" t="str">
        <f>IF(VLOOKUP(F33,$U$5:$V$33,2,FALSE)="CPP",INDEX(Output!$A$20:$AH$29,MATCH(F$4,Output!$A$20:$A$29,0),MATCH(F33,Output!$A$20:$AH$20,0))*100,"")</f>
        <v/>
      </c>
      <c r="J33" s="112"/>
      <c r="K33" s="95">
        <f t="shared" si="2"/>
        <v>29</v>
      </c>
      <c r="L33" s="95" t="s">
        <v>34</v>
      </c>
      <c r="M33" s="140">
        <f>INDEX(Output!$A$20:$AH$29,MATCH(L$4,Output!$A$20:$A$29,0),MATCH($C33,Output!$A$20:$AH$20,0))*100</f>
        <v>-47.823111174818486</v>
      </c>
      <c r="N33" s="95">
        <v>29</v>
      </c>
      <c r="O33" s="95" t="str">
        <f t="shared" si="3"/>
        <v>Westpower</v>
      </c>
      <c r="P33" s="140" t="str">
        <f>IF(VLOOKUP(O33,$U$5:$V$33,2,FALSE)="DPP",INDEX(Output!$A$20:$AH$29,MATCH(O$4,Output!$A$20:$A$29,0),MATCH(O33,Output!$A$20:$AH$20,0))*100,"")</f>
        <v/>
      </c>
      <c r="Q33" s="140">
        <f>IF(VLOOKUP(O33,$U$5:$V$33,2,FALSE)="ID",INDEX(Output!$A$20:$AH$29,MATCH(O$4,Output!$A$20:$A$29,0),MATCH(O33,Output!$A$20:$AH$20,0))*100,"")</f>
        <v>-47.823111174818486</v>
      </c>
      <c r="R33" s="140" t="str">
        <f>IF(VLOOKUP(O33,$U$5:$V$33,2,FALSE)="CPP",INDEX(Output!$A$20:$AH$29,MATCH(O$4,Output!$A$20:$A$29,0),MATCH(O33,Output!$A$20:$AH$20,0))*100,"")</f>
        <v/>
      </c>
      <c r="S33" s="68"/>
      <c r="T33" s="68"/>
      <c r="U33" s="135" t="s">
        <v>34</v>
      </c>
      <c r="V33" s="78" t="s">
        <v>179</v>
      </c>
      <c r="W33" s="68"/>
      <c r="Z33" s="68"/>
    </row>
    <row r="34" spans="1:39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112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</row>
    <row r="35" spans="1:39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9" ht="18.75" x14ac:dyDescent="0.3">
      <c r="A36" s="42" t="s">
        <v>172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42" t="s">
        <v>204</v>
      </c>
      <c r="U36" s="68"/>
      <c r="V36" s="68"/>
      <c r="W36" s="68"/>
      <c r="X36" s="68"/>
      <c r="Y36" s="68"/>
      <c r="Z36" s="68"/>
    </row>
    <row r="37" spans="1:39" s="141" customFormat="1" ht="38.25" x14ac:dyDescent="0.2">
      <c r="C37" s="141" t="s">
        <v>134</v>
      </c>
      <c r="F37" s="141" t="s">
        <v>134</v>
      </c>
      <c r="L37" s="141" t="s">
        <v>153</v>
      </c>
      <c r="O37" s="141" t="s">
        <v>153</v>
      </c>
      <c r="U37" s="141" t="s">
        <v>71</v>
      </c>
      <c r="X37" s="141" t="s">
        <v>71</v>
      </c>
      <c r="AB37" s="141" t="s">
        <v>73</v>
      </c>
      <c r="AE37" s="141" t="s">
        <v>73</v>
      </c>
      <c r="AI37" s="141" t="s">
        <v>193</v>
      </c>
      <c r="AL37" s="141" t="s">
        <v>193</v>
      </c>
    </row>
    <row r="38" spans="1:39" x14ac:dyDescent="0.25">
      <c r="A38" s="68"/>
      <c r="B38" s="95">
        <f>RANK(D38,D$38:D$54,0)</f>
        <v>6</v>
      </c>
      <c r="C38" s="95" t="s">
        <v>12</v>
      </c>
      <c r="D38" s="140">
        <f>INDEX(Output!$A$20:$AH$29,MATCH(C$37,Output!$A$20:$A$29,0),MATCH($C38,Output!$A$20:$AH$20,0))*100</f>
        <v>29.046201592928167</v>
      </c>
      <c r="E38" s="95">
        <v>1</v>
      </c>
      <c r="F38" s="95" t="str">
        <f t="shared" ref="F38:F53" si="4">VLOOKUP(E38,B$38:C$54,2,FALSE)</f>
        <v>The Lines Company</v>
      </c>
      <c r="G38" s="140">
        <f>INDEX(Output!$A$20:$AH$29,MATCH(F$37,Output!$A$20:$A$29,0),MATCH(F38,Output!$A$20:$AH$20,0))*100</f>
        <v>39.780186821643035</v>
      </c>
      <c r="H38" s="68"/>
      <c r="I38" s="68"/>
      <c r="J38" s="68"/>
      <c r="K38" s="95">
        <f>RANK(M38,M$38:M$54,0)</f>
        <v>7</v>
      </c>
      <c r="L38" s="95" t="s">
        <v>12</v>
      </c>
      <c r="M38" s="140">
        <f>INDEX(Output!$A$20:$AH$29,MATCH(L$37,Output!$A$20:$A$29,0),MATCH($C38,Output!$A$20:$AH$20,0))*100</f>
        <v>59.670393482394466</v>
      </c>
      <c r="N38" s="95">
        <v>1</v>
      </c>
      <c r="O38" s="95" t="str">
        <f>VLOOKUP(N38,K$38:L$54,2,FALSE)</f>
        <v>Nelson Electricity</v>
      </c>
      <c r="P38" s="140">
        <f>INDEX(Output!$A$20:$AH$29,MATCH(O$37,Output!$A$20:$A$29,0),MATCH(O38,Output!$A$20:$AH$20,0))*100</f>
        <v>345.42350535163189</v>
      </c>
      <c r="Q38" s="68"/>
      <c r="R38" s="68"/>
      <c r="S38" s="112"/>
      <c r="T38" s="95">
        <f>RANK(V38,V$38:V$54,1)</f>
        <v>13</v>
      </c>
      <c r="U38" s="95" t="s">
        <v>12</v>
      </c>
      <c r="V38" s="140">
        <f>INDEX(Output!$A$7:$S$19,MATCH(U$37,Output!$A$7:$A$19,0),MATCH($U38,Output!$A$7:$S$7,0))*100</f>
        <v>24.822039739357884</v>
      </c>
      <c r="W38" s="95">
        <v>1</v>
      </c>
      <c r="X38" s="95" t="str">
        <f>VLOOKUP(W38,T$38:U$54,2,FALSE)</f>
        <v>Wellington Electricity</v>
      </c>
      <c r="Y38" s="140">
        <f>INDEX(Output!$A$7:$S$19,MATCH(X$37,Output!$A$7:$A$19,0),MATCH(X38,Output!$A$7:$S$7,0))*100</f>
        <v>-15.437482832996608</v>
      </c>
      <c r="Z38" s="68"/>
      <c r="AA38" s="95">
        <f>RANK(AC38,AC$38:AC$54,1)</f>
        <v>6</v>
      </c>
      <c r="AB38" s="95" t="s">
        <v>12</v>
      </c>
      <c r="AC38" s="140">
        <f>INDEX(Output!$A$7:$S$19,MATCH(AB$37,Output!$A$7:$A$19,0),MATCH($U38,Output!$A$7:$S$7,0))*100</f>
        <v>-7.0549152929951013</v>
      </c>
      <c r="AD38" s="95">
        <v>1</v>
      </c>
      <c r="AE38" s="95" t="str">
        <f>VLOOKUP(AD38,AA$38:AB$54,2,FALSE)</f>
        <v>Aurora Energy</v>
      </c>
      <c r="AF38" s="140">
        <f>INDEX(Output!$A$7:$S$19,MATCH(AE$37,Output!$A$7:$A$19,0),MATCH(AE38,Output!$A$7:$S$7,0))*100</f>
        <v>-23.861871608714445</v>
      </c>
      <c r="AH38" s="95">
        <f>RANK(AJ38,AJ$38:AJ$54,1)</f>
        <v>2</v>
      </c>
      <c r="AI38" s="95" t="s">
        <v>12</v>
      </c>
      <c r="AJ38" s="140">
        <f>INDEX(Output!$A$7:$S$19,MATCH(AI$37,Output!$A$7:$A$19,0),MATCH($U38,Output!$A$7:$S$7,0))*100</f>
        <v>-55.633444956710356</v>
      </c>
      <c r="AK38" s="95">
        <v>1</v>
      </c>
      <c r="AL38" s="95" t="str">
        <f>VLOOKUP(AK38,AH$38:AI$54,2,FALSE)</f>
        <v>Nelson Electricity</v>
      </c>
      <c r="AM38" s="140">
        <f>INDEX(Output!$A$7:$S$19,MATCH(AL$37,Output!$A$7:$A$19,0),MATCH(AL38,Output!$A$7:$S$7,0))*100</f>
        <v>-67.855919617682218</v>
      </c>
    </row>
    <row r="39" spans="1:39" x14ac:dyDescent="0.25">
      <c r="A39" s="68"/>
      <c r="B39" s="95">
        <f t="shared" ref="B39:B53" si="5">RANK(D39,D$38:D$54,0)</f>
        <v>9</v>
      </c>
      <c r="C39" s="95" t="s">
        <v>13</v>
      </c>
      <c r="D39" s="140">
        <f>INDEX(Output!$A$20:$AH$29,MATCH(C$37,Output!$A$20:$A$29,0),MATCH($C39,Output!$A$20:$AH$20,0))*100</f>
        <v>13.448372538167487</v>
      </c>
      <c r="E39" s="95">
        <v>2</v>
      </c>
      <c r="F39" s="95" t="str">
        <f t="shared" si="4"/>
        <v>OtagoNet</v>
      </c>
      <c r="G39" s="140">
        <f>INDEX(Output!$A$20:$AH$29,MATCH(F$37,Output!$A$20:$A$29,0),MATCH(F39,Output!$A$20:$AH$20,0))*100</f>
        <v>35.495740053923441</v>
      </c>
      <c r="H39" s="68"/>
      <c r="I39" s="68"/>
      <c r="J39" s="68"/>
      <c r="K39" s="95">
        <f t="shared" ref="K39:K53" si="6">RANK(M39,M$38:M$54,0)</f>
        <v>15</v>
      </c>
      <c r="L39" s="95" t="s">
        <v>13</v>
      </c>
      <c r="M39" s="140">
        <f>INDEX(Output!$A$20:$AH$29,MATCH(L$37,Output!$A$20:$A$29,0),MATCH($C39,Output!$A$20:$AH$20,0))*100</f>
        <v>2.5139545012709652</v>
      </c>
      <c r="N39" s="95">
        <v>2</v>
      </c>
      <c r="O39" s="95" t="str">
        <f t="shared" ref="O39:O53" si="7">VLOOKUP(N39,K$38:L$54,2,FALSE)</f>
        <v>Top Energy</v>
      </c>
      <c r="P39" s="140">
        <f>INDEX(Output!$A$20:$AH$29,MATCH(O$37,Output!$A$20:$A$29,0),MATCH(O39,Output!$A$20:$AH$20,0))*100</f>
        <v>103.28695762809912</v>
      </c>
      <c r="Q39" s="68"/>
      <c r="R39" s="68"/>
      <c r="S39" s="112"/>
      <c r="T39" s="95">
        <f t="shared" ref="T39:T53" si="8">RANK(V39,V$38:V$54,1)</f>
        <v>4</v>
      </c>
      <c r="U39" s="95" t="s">
        <v>13</v>
      </c>
      <c r="V39" s="140">
        <f>INDEX(Output!$A$7:$S$19,MATCH(U$37,Output!$A$7:$A$19,0),MATCH($U39,Output!$A$7:$S$7,0))*100</f>
        <v>-0.39517579426081584</v>
      </c>
      <c r="W39" s="95">
        <v>2</v>
      </c>
      <c r="X39" s="95" t="str">
        <f t="shared" ref="X39:X53" si="9">VLOOKUP(W39,T$38:U$54,2,FALSE)</f>
        <v>Nelson Electricity</v>
      </c>
      <c r="Y39" s="140">
        <f>INDEX(Output!$A$7:$S$19,MATCH(X$37,Output!$A$7:$A$19,0),MATCH(X39,Output!$A$7:$S$7,0))*100</f>
        <v>-9.9671757911199084</v>
      </c>
      <c r="Z39" s="68"/>
      <c r="AA39" s="95">
        <f t="shared" ref="AA39:AA53" si="10">RANK(AC39,AC$38:AC$54,1)</f>
        <v>1</v>
      </c>
      <c r="AB39" s="95" t="s">
        <v>13</v>
      </c>
      <c r="AC39" s="140">
        <f>INDEX(Output!$A$7:$S$19,MATCH(AB$37,Output!$A$7:$A$19,0),MATCH($U39,Output!$A$7:$S$7,0))*100</f>
        <v>-23.861871608714445</v>
      </c>
      <c r="AD39" s="95">
        <v>2</v>
      </c>
      <c r="AE39" s="95" t="str">
        <f t="shared" ref="AE39:AE53" si="11">VLOOKUP(AD39,AA$38:AB$54,2,FALSE)</f>
        <v>Centralines</v>
      </c>
      <c r="AF39" s="140">
        <f>INDEX(Output!$A$7:$S$19,MATCH(AE$37,Output!$A$7:$A$19,0),MATCH(AE39,Output!$A$7:$S$7,0))*100</f>
        <v>-21.702802468783755</v>
      </c>
      <c r="AH39" s="95">
        <f t="shared" ref="AH39:AH53" si="12">RANK(AJ39,AJ$38:AJ$54,1)</f>
        <v>8</v>
      </c>
      <c r="AI39" s="95" t="s">
        <v>13</v>
      </c>
      <c r="AJ39" s="140">
        <f>INDEX(Output!$A$7:$S$19,MATCH(AI$37,Output!$A$7:$A$19,0),MATCH($U39,Output!$A$7:$S$7,0))*100</f>
        <v>-19.451826472041091</v>
      </c>
      <c r="AK39" s="95">
        <v>2</v>
      </c>
      <c r="AL39" s="95" t="str">
        <f t="shared" ref="AL39:AL53" si="13">VLOOKUP(AK39,AH$38:AI$54,2,FALSE)</f>
        <v>Alpine Energy</v>
      </c>
      <c r="AM39" s="140">
        <f>INDEX(Output!$A$7:$S$19,MATCH(AL$37,Output!$A$7:$A$19,0),MATCH(AL39,Output!$A$7:$S$7,0))*100</f>
        <v>-55.633444956710356</v>
      </c>
    </row>
    <row r="40" spans="1:39" x14ac:dyDescent="0.25">
      <c r="A40" s="68"/>
      <c r="B40" s="95">
        <f t="shared" si="5"/>
        <v>3</v>
      </c>
      <c r="C40" s="95" t="s">
        <v>14</v>
      </c>
      <c r="D40" s="140">
        <f>INDEX(Output!$A$20:$AH$29,MATCH(C$37,Output!$A$20:$A$29,0),MATCH($C40,Output!$A$20:$AH$20,0))*100</f>
        <v>34.872881789683419</v>
      </c>
      <c r="E40" s="95">
        <v>3</v>
      </c>
      <c r="F40" s="95" t="str">
        <f t="shared" si="4"/>
        <v>Centralines</v>
      </c>
      <c r="G40" s="140">
        <f>INDEX(Output!$A$20:$AH$29,MATCH(F$37,Output!$A$20:$A$29,0),MATCH(F40,Output!$A$20:$AH$20,0))*100</f>
        <v>34.872881789683419</v>
      </c>
      <c r="H40" s="68"/>
      <c r="I40" s="68"/>
      <c r="J40" s="68"/>
      <c r="K40" s="95">
        <f t="shared" si="6"/>
        <v>16</v>
      </c>
      <c r="L40" s="95" t="s">
        <v>14</v>
      </c>
      <c r="M40" s="140">
        <f>INDEX(Output!$A$20:$AH$29,MATCH(L$37,Output!$A$20:$A$29,0),MATCH($C40,Output!$A$20:$AH$20,0))*100</f>
        <v>-34.158959604192972</v>
      </c>
      <c r="N40" s="95">
        <v>3</v>
      </c>
      <c r="O40" s="95" t="str">
        <f t="shared" si="7"/>
        <v>Network Tasman</v>
      </c>
      <c r="P40" s="140">
        <f>INDEX(Output!$A$20:$AH$29,MATCH(O$37,Output!$A$20:$A$29,0),MATCH(O40,Output!$A$20:$AH$20,0))*100</f>
        <v>96.155539313774938</v>
      </c>
      <c r="Q40" s="68"/>
      <c r="R40" s="68"/>
      <c r="S40" s="121"/>
      <c r="T40" s="95">
        <f t="shared" si="8"/>
        <v>16</v>
      </c>
      <c r="U40" s="95" t="s">
        <v>14</v>
      </c>
      <c r="V40" s="140">
        <f>INDEX(Output!$A$7:$S$19,MATCH(U$37,Output!$A$7:$A$19,0),MATCH($U40,Output!$A$7:$S$7,0))*100</f>
        <v>40.174450578072211</v>
      </c>
      <c r="W40" s="95">
        <v>3</v>
      </c>
      <c r="X40" s="95" t="str">
        <f t="shared" si="9"/>
        <v>Vector Lines</v>
      </c>
      <c r="Y40" s="140">
        <f>INDEX(Output!$A$7:$S$19,MATCH(X$37,Output!$A$7:$A$19,0),MATCH(X40,Output!$A$7:$S$7,0))*100</f>
        <v>-6.8784748305170007</v>
      </c>
      <c r="Z40" s="68"/>
      <c r="AA40" s="95">
        <f t="shared" si="10"/>
        <v>2</v>
      </c>
      <c r="AB40" s="95" t="s">
        <v>14</v>
      </c>
      <c r="AC40" s="140">
        <f>INDEX(Output!$A$7:$S$19,MATCH(AB$37,Output!$A$7:$A$19,0),MATCH($U40,Output!$A$7:$S$7,0))*100</f>
        <v>-21.702802468783755</v>
      </c>
      <c r="AD40" s="95">
        <v>3</v>
      </c>
      <c r="AE40" s="95" t="str">
        <f t="shared" si="11"/>
        <v>Wellington Electricity</v>
      </c>
      <c r="AF40" s="140">
        <f>INDEX(Output!$A$7:$S$19,MATCH(AE$37,Output!$A$7:$A$19,0),MATCH(AE40,Output!$A$7:$S$7,0))*100</f>
        <v>-14.874151957721693</v>
      </c>
      <c r="AH40" s="95">
        <f t="shared" si="12"/>
        <v>16</v>
      </c>
      <c r="AI40" s="95" t="s">
        <v>14</v>
      </c>
      <c r="AJ40" s="140">
        <f>INDEX(Output!$A$7:$S$19,MATCH(AI$37,Output!$A$7:$A$19,0),MATCH($U40,Output!$A$7:$S$7,0))*100</f>
        <v>11.185493575516524</v>
      </c>
      <c r="AK40" s="95">
        <v>3</v>
      </c>
      <c r="AL40" s="95" t="str">
        <f t="shared" si="13"/>
        <v>Network Tasman</v>
      </c>
      <c r="AM40" s="140">
        <f>INDEX(Output!$A$7:$S$19,MATCH(AL$37,Output!$A$7:$A$19,0),MATCH(AL40,Output!$A$7:$S$7,0))*100</f>
        <v>-38.225336461398349</v>
      </c>
    </row>
    <row r="41" spans="1:39" x14ac:dyDescent="0.25">
      <c r="A41" s="68"/>
      <c r="B41" s="95">
        <f t="shared" si="5"/>
        <v>5</v>
      </c>
      <c r="C41" s="95" t="s">
        <v>166</v>
      </c>
      <c r="D41" s="140">
        <f>INDEX(Output!$A$20:$AH$29,MATCH(C$37,Output!$A$20:$A$29,0),MATCH($C41,Output!$A$20:$AH$20,0))*100</f>
        <v>29.347533745070219</v>
      </c>
      <c r="E41" s="95">
        <v>4</v>
      </c>
      <c r="F41" s="95" t="str">
        <f t="shared" si="4"/>
        <v>Electricity Ashburton</v>
      </c>
      <c r="G41" s="140">
        <f>INDEX(Output!$A$20:$AH$29,MATCH(F$37,Output!$A$20:$A$29,0),MATCH(F41,Output!$A$20:$AH$20,0))*100</f>
        <v>30.387775741224665</v>
      </c>
      <c r="H41" s="68"/>
      <c r="I41" s="68"/>
      <c r="J41" s="68"/>
      <c r="K41" s="95">
        <f t="shared" si="6"/>
        <v>4</v>
      </c>
      <c r="L41" s="95" t="s">
        <v>166</v>
      </c>
      <c r="M41" s="140">
        <f>INDEX(Output!$A$20:$AH$29,MATCH(L$37,Output!$A$20:$A$29,0),MATCH($C41,Output!$A$20:$AH$20,0))*100</f>
        <v>91.411891957254497</v>
      </c>
      <c r="N41" s="95">
        <v>4</v>
      </c>
      <c r="O41" s="95" t="str">
        <f t="shared" si="7"/>
        <v>Eastland Network</v>
      </c>
      <c r="P41" s="140">
        <f>INDEX(Output!$A$20:$AH$29,MATCH(O$37,Output!$A$20:$A$29,0),MATCH(O41,Output!$A$20:$AH$20,0))*100</f>
        <v>91.411891957254497</v>
      </c>
      <c r="Q41" s="68"/>
      <c r="R41" s="68"/>
      <c r="S41" s="112"/>
      <c r="T41" s="95">
        <f t="shared" si="8"/>
        <v>11</v>
      </c>
      <c r="U41" s="95" t="s">
        <v>166</v>
      </c>
      <c r="V41" s="140">
        <f>INDEX(Output!$A$7:$S$19,MATCH(U$37,Output!$A$7:$A$19,0),MATCH($U41,Output!$A$7:$S$7,0))*100</f>
        <v>19.289196709198244</v>
      </c>
      <c r="W41" s="95">
        <v>4</v>
      </c>
      <c r="X41" s="95" t="str">
        <f t="shared" si="9"/>
        <v>Aurora Energy</v>
      </c>
      <c r="Y41" s="140">
        <f>INDEX(Output!$A$7:$S$19,MATCH(X$37,Output!$A$7:$A$19,0),MATCH(X41,Output!$A$7:$S$7,0))*100</f>
        <v>-0.39517579426081584</v>
      </c>
      <c r="Z41" s="68"/>
      <c r="AA41" s="95">
        <f t="shared" si="10"/>
        <v>11</v>
      </c>
      <c r="AB41" s="95" t="s">
        <v>166</v>
      </c>
      <c r="AC41" s="140">
        <f>INDEX(Output!$A$7:$S$19,MATCH(AB$37,Output!$A$7:$A$19,0),MATCH($U41,Output!$A$7:$S$7,0))*100</f>
        <v>56.160809168014467</v>
      </c>
      <c r="AD41" s="95">
        <v>4</v>
      </c>
      <c r="AE41" s="95" t="str">
        <f t="shared" si="11"/>
        <v>Vector Lines</v>
      </c>
      <c r="AF41" s="140">
        <f>INDEX(Output!$A$7:$S$19,MATCH(AE$37,Output!$A$7:$A$19,0),MATCH(AE41,Output!$A$7:$S$7,0))*100</f>
        <v>-11.18212374009353</v>
      </c>
      <c r="AH41" s="95">
        <f t="shared" si="12"/>
        <v>14</v>
      </c>
      <c r="AI41" s="95" t="s">
        <v>166</v>
      </c>
      <c r="AJ41" s="140">
        <f>INDEX(Output!$A$7:$S$19,MATCH(AI$37,Output!$A$7:$A$19,0),MATCH($U41,Output!$A$7:$S$7,0))*100</f>
        <v>-6.5321664794337764E-3</v>
      </c>
      <c r="AK41" s="95">
        <v>4</v>
      </c>
      <c r="AL41" s="95" t="str">
        <f t="shared" si="13"/>
        <v>Horizon Energy</v>
      </c>
      <c r="AM41" s="140">
        <f>INDEX(Output!$A$7:$S$19,MATCH(AL$37,Output!$A$7:$A$19,0),MATCH(AL41,Output!$A$7:$S$7,0))*100</f>
        <v>-28.788165822984404</v>
      </c>
    </row>
    <row r="42" spans="1:39" x14ac:dyDescent="0.25">
      <c r="A42" s="68"/>
      <c r="B42" s="95">
        <f t="shared" si="5"/>
        <v>4</v>
      </c>
      <c r="C42" s="95" t="s">
        <v>17</v>
      </c>
      <c r="D42" s="140">
        <f>INDEX(Output!$A$20:$AH$29,MATCH(C$37,Output!$A$20:$A$29,0),MATCH($C42,Output!$A$20:$AH$20,0))*100</f>
        <v>30.387775741224665</v>
      </c>
      <c r="E42" s="95">
        <v>5</v>
      </c>
      <c r="F42" s="95" t="str">
        <f t="shared" si="4"/>
        <v>Eastland Network</v>
      </c>
      <c r="G42" s="140">
        <f>INDEX(Output!$A$20:$AH$29,MATCH(F$37,Output!$A$20:$A$29,0),MATCH(F42,Output!$A$20:$AH$20,0))*100</f>
        <v>29.347533745070219</v>
      </c>
      <c r="H42" s="68"/>
      <c r="I42" s="68"/>
      <c r="J42" s="68"/>
      <c r="K42" s="95">
        <f t="shared" si="6"/>
        <v>10</v>
      </c>
      <c r="L42" s="95" t="s">
        <v>17</v>
      </c>
      <c r="M42" s="140">
        <f>INDEX(Output!$A$20:$AH$29,MATCH(L$37,Output!$A$20:$A$29,0),MATCH($C42,Output!$A$20:$AH$20,0))*100</f>
        <v>25.204380379628887</v>
      </c>
      <c r="N42" s="95">
        <v>5</v>
      </c>
      <c r="O42" s="95" t="str">
        <f t="shared" si="7"/>
        <v>Electricity Invercargill</v>
      </c>
      <c r="P42" s="140">
        <f>INDEX(Output!$A$20:$AH$29,MATCH(O$37,Output!$A$20:$A$29,0),MATCH(O42,Output!$A$20:$AH$20,0))*100</f>
        <v>70.174030970542091</v>
      </c>
      <c r="Q42" s="68"/>
      <c r="R42" s="68"/>
      <c r="S42" s="121"/>
      <c r="T42" s="95">
        <f t="shared" si="8"/>
        <v>14</v>
      </c>
      <c r="U42" s="95" t="s">
        <v>17</v>
      </c>
      <c r="V42" s="140">
        <f>INDEX(Output!$A$7:$S$19,MATCH(U$37,Output!$A$7:$A$19,0),MATCH($U42,Output!$A$7:$S$7,0))*100</f>
        <v>30.120203328177109</v>
      </c>
      <c r="W42" s="95">
        <v>5</v>
      </c>
      <c r="X42" s="95" t="str">
        <f t="shared" si="9"/>
        <v>Electricity Invercargill</v>
      </c>
      <c r="Y42" s="140">
        <f>INDEX(Output!$A$7:$S$19,MATCH(X$37,Output!$A$7:$A$19,0),MATCH(X42,Output!$A$7:$S$7,0))*100</f>
        <v>0.67606181401180798</v>
      </c>
      <c r="Z42" s="68"/>
      <c r="AA42" s="95">
        <f t="shared" si="10"/>
        <v>15</v>
      </c>
      <c r="AB42" s="95" t="s">
        <v>17</v>
      </c>
      <c r="AC42" s="140">
        <f>INDEX(Output!$A$7:$S$19,MATCH(AB$37,Output!$A$7:$A$19,0),MATCH($U42,Output!$A$7:$S$7,0))*100</f>
        <v>71.068521941466003</v>
      </c>
      <c r="AD42" s="95">
        <v>5</v>
      </c>
      <c r="AE42" s="95" t="str">
        <f t="shared" si="11"/>
        <v>Unison Networks</v>
      </c>
      <c r="AF42" s="140">
        <f>INDEX(Output!$A$7:$S$19,MATCH(AE$37,Output!$A$7:$A$19,0),MATCH(AE42,Output!$A$7:$S$7,0))*100</f>
        <v>-8.467590444197338</v>
      </c>
      <c r="AH42" s="95">
        <f t="shared" si="12"/>
        <v>15</v>
      </c>
      <c r="AI42" s="95" t="s">
        <v>17</v>
      </c>
      <c r="AJ42" s="140">
        <f>INDEX(Output!$A$7:$S$19,MATCH(AI$37,Output!$A$7:$A$19,0),MATCH($U42,Output!$A$7:$S$7,0))*100</f>
        <v>3.1889031727778017</v>
      </c>
      <c r="AK42" s="95">
        <v>5</v>
      </c>
      <c r="AL42" s="95" t="str">
        <f t="shared" si="13"/>
        <v>OtagoNet</v>
      </c>
      <c r="AM42" s="140">
        <f>INDEX(Output!$A$7:$S$19,MATCH(AL$37,Output!$A$7:$A$19,0),MATCH(AL42,Output!$A$7:$S$7,0))*100</f>
        <v>-24.3791716069505</v>
      </c>
    </row>
    <row r="43" spans="1:39" x14ac:dyDescent="0.25">
      <c r="A43" s="68"/>
      <c r="B43" s="95">
        <f t="shared" si="5"/>
        <v>12</v>
      </c>
      <c r="C43" s="95" t="s">
        <v>18</v>
      </c>
      <c r="D43" s="140">
        <f>INDEX(Output!$A$20:$AH$29,MATCH(C$37,Output!$A$20:$A$29,0),MATCH($C43,Output!$A$20:$AH$20,0))*100</f>
        <v>7.9952780278018887</v>
      </c>
      <c r="E43" s="95">
        <v>6</v>
      </c>
      <c r="F43" s="95" t="str">
        <f t="shared" si="4"/>
        <v>Alpine Energy</v>
      </c>
      <c r="G43" s="140">
        <f>INDEX(Output!$A$20:$AH$29,MATCH(F$37,Output!$A$20:$A$29,0),MATCH(F43,Output!$A$20:$AH$20,0))*100</f>
        <v>29.046201592928167</v>
      </c>
      <c r="H43" s="68"/>
      <c r="I43" s="68"/>
      <c r="J43" s="68"/>
      <c r="K43" s="95">
        <f t="shared" si="6"/>
        <v>5</v>
      </c>
      <c r="L43" s="95" t="s">
        <v>18</v>
      </c>
      <c r="M43" s="140">
        <f>INDEX(Output!$A$20:$AH$29,MATCH(L$37,Output!$A$20:$A$29,0),MATCH($C43,Output!$A$20:$AH$20,0))*100</f>
        <v>70.174030970542091</v>
      </c>
      <c r="N43" s="95">
        <v>6</v>
      </c>
      <c r="O43" s="95" t="str">
        <f t="shared" si="7"/>
        <v>Horizon Energy</v>
      </c>
      <c r="P43" s="140">
        <f>INDEX(Output!$A$20:$AH$29,MATCH(O$37,Output!$A$20:$A$29,0),MATCH(O43,Output!$A$20:$AH$20,0))*100</f>
        <v>69.939336148796812</v>
      </c>
      <c r="Q43" s="68"/>
      <c r="R43" s="68"/>
      <c r="S43" s="112"/>
      <c r="T43" s="95">
        <f t="shared" si="8"/>
        <v>5</v>
      </c>
      <c r="U43" s="95" t="s">
        <v>18</v>
      </c>
      <c r="V43" s="140">
        <f>INDEX(Output!$A$7:$S$19,MATCH(U$37,Output!$A$7:$A$19,0),MATCH($U43,Output!$A$7:$S$7,0))*100</f>
        <v>0.67606181401180798</v>
      </c>
      <c r="W43" s="95">
        <v>6</v>
      </c>
      <c r="X43" s="95" t="str">
        <f t="shared" si="9"/>
        <v>Powerco</v>
      </c>
      <c r="Y43" s="140">
        <f>INDEX(Output!$A$7:$S$19,MATCH(X$37,Output!$A$7:$A$19,0),MATCH(X43,Output!$A$7:$S$7,0))*100</f>
        <v>1.4456838233321889</v>
      </c>
      <c r="Z43" s="68"/>
      <c r="AA43" s="95">
        <f t="shared" si="10"/>
        <v>14</v>
      </c>
      <c r="AB43" s="95" t="s">
        <v>18</v>
      </c>
      <c r="AC43" s="140">
        <f>INDEX(Output!$A$7:$S$19,MATCH(AB$37,Output!$A$7:$A$19,0),MATCH($U43,Output!$A$7:$S$7,0))*100</f>
        <v>67.839211183667686</v>
      </c>
      <c r="AD43" s="95">
        <v>6</v>
      </c>
      <c r="AE43" s="95" t="str">
        <f t="shared" si="11"/>
        <v>Alpine Energy</v>
      </c>
      <c r="AF43" s="140">
        <f>INDEX(Output!$A$7:$S$19,MATCH(AE$37,Output!$A$7:$A$19,0),MATCH(AE43,Output!$A$7:$S$7,0))*100</f>
        <v>-7.0549152929951013</v>
      </c>
      <c r="AH43" s="95">
        <f t="shared" si="12"/>
        <v>10</v>
      </c>
      <c r="AI43" s="95" t="s">
        <v>18</v>
      </c>
      <c r="AJ43" s="140">
        <f>INDEX(Output!$A$7:$S$19,MATCH(AI$37,Output!$A$7:$A$19,0),MATCH($U43,Output!$A$7:$S$7,0))*100</f>
        <v>-17.796636471985373</v>
      </c>
      <c r="AK43" s="95">
        <v>6</v>
      </c>
      <c r="AL43" s="95" t="str">
        <f t="shared" si="13"/>
        <v>Unison Networks</v>
      </c>
      <c r="AM43" s="140">
        <f>INDEX(Output!$A$7:$S$19,MATCH(AL$37,Output!$A$7:$A$19,0),MATCH(AL43,Output!$A$7:$S$7,0))*100</f>
        <v>-24.184322171036321</v>
      </c>
    </row>
    <row r="44" spans="1:39" x14ac:dyDescent="0.25">
      <c r="A44" s="68"/>
      <c r="B44" s="95">
        <f t="shared" si="5"/>
        <v>14</v>
      </c>
      <c r="C44" s="95" t="s">
        <v>19</v>
      </c>
      <c r="D44" s="140">
        <f>INDEX(Output!$A$20:$AH$29,MATCH(C$37,Output!$A$20:$A$29,0),MATCH($C44,Output!$A$20:$AH$20,0))*100</f>
        <v>6.522656654355008</v>
      </c>
      <c r="E44" s="95">
        <v>7</v>
      </c>
      <c r="F44" s="95" t="str">
        <f t="shared" si="4"/>
        <v>Unison Networks</v>
      </c>
      <c r="G44" s="140">
        <f>INDEX(Output!$A$20:$AH$29,MATCH(F$37,Output!$A$20:$A$29,0),MATCH(F44,Output!$A$20:$AH$20,0))*100</f>
        <v>27.453156880651175</v>
      </c>
      <c r="H44" s="68"/>
      <c r="I44" s="68"/>
      <c r="J44" s="68"/>
      <c r="K44" s="95">
        <f t="shared" si="6"/>
        <v>6</v>
      </c>
      <c r="L44" s="95" t="s">
        <v>19</v>
      </c>
      <c r="M44" s="140">
        <f>INDEX(Output!$A$20:$AH$29,MATCH(L$37,Output!$A$20:$A$29,0),MATCH($C44,Output!$A$20:$AH$20,0))*100</f>
        <v>69.939336148796812</v>
      </c>
      <c r="N44" s="95">
        <v>7</v>
      </c>
      <c r="O44" s="95" t="str">
        <f t="shared" si="7"/>
        <v>Alpine Energy</v>
      </c>
      <c r="P44" s="140">
        <f>INDEX(Output!$A$20:$AH$29,MATCH(O$37,Output!$A$20:$A$29,0),MATCH(O44,Output!$A$20:$AH$20,0))*100</f>
        <v>59.670393482394466</v>
      </c>
      <c r="Q44" s="68"/>
      <c r="R44" s="68"/>
      <c r="S44" s="112"/>
      <c r="T44" s="95">
        <f t="shared" si="8"/>
        <v>8</v>
      </c>
      <c r="U44" s="95" t="s">
        <v>19</v>
      </c>
      <c r="V44" s="140">
        <f>INDEX(Output!$A$7:$S$19,MATCH(U$37,Output!$A$7:$A$19,0),MATCH($U44,Output!$A$7:$S$7,0))*100</f>
        <v>3.8650452987731621</v>
      </c>
      <c r="W44" s="95">
        <v>7</v>
      </c>
      <c r="X44" s="95" t="str">
        <f t="shared" si="9"/>
        <v>Top Energy</v>
      </c>
      <c r="Y44" s="140">
        <f>INDEX(Output!$A$7:$S$19,MATCH(X$37,Output!$A$7:$A$19,0),MATCH(X44,Output!$A$7:$S$7,0))*100</f>
        <v>3.2333454377969861</v>
      </c>
      <c r="Z44" s="68"/>
      <c r="AA44" s="95">
        <f t="shared" si="10"/>
        <v>12</v>
      </c>
      <c r="AB44" s="95" t="s">
        <v>19</v>
      </c>
      <c r="AC44" s="140">
        <f>INDEX(Output!$A$7:$S$19,MATCH(AB$37,Output!$A$7:$A$19,0),MATCH($U44,Output!$A$7:$S$7,0))*100</f>
        <v>58.141783213752248</v>
      </c>
      <c r="AD44" s="95">
        <v>7</v>
      </c>
      <c r="AE44" s="95" t="str">
        <f t="shared" si="11"/>
        <v>The Lines Company</v>
      </c>
      <c r="AF44" s="140">
        <f>INDEX(Output!$A$7:$S$19,MATCH(AE$37,Output!$A$7:$A$19,0),MATCH(AE44,Output!$A$7:$S$7,0))*100</f>
        <v>5.1647501131611762</v>
      </c>
      <c r="AH44" s="95">
        <f t="shared" si="12"/>
        <v>4</v>
      </c>
      <c r="AI44" s="95" t="s">
        <v>19</v>
      </c>
      <c r="AJ44" s="140">
        <f>INDEX(Output!$A$7:$S$19,MATCH(AI$37,Output!$A$7:$A$19,0),MATCH($U44,Output!$A$7:$S$7,0))*100</f>
        <v>-28.788165822984404</v>
      </c>
      <c r="AK44" s="95">
        <v>7</v>
      </c>
      <c r="AL44" s="95" t="str">
        <f t="shared" si="13"/>
        <v>Wellington Electricity</v>
      </c>
      <c r="AM44" s="140">
        <f>INDEX(Output!$A$7:$S$19,MATCH(AL$37,Output!$A$7:$A$19,0),MATCH(AL44,Output!$A$7:$S$7,0))*100</f>
        <v>-23.194332580620557</v>
      </c>
    </row>
    <row r="45" spans="1:39" x14ac:dyDescent="0.25">
      <c r="A45" s="68"/>
      <c r="B45" s="95">
        <f t="shared" si="5"/>
        <v>11</v>
      </c>
      <c r="C45" s="95" t="s">
        <v>21</v>
      </c>
      <c r="D45" s="140">
        <f>INDEX(Output!$A$20:$AH$29,MATCH(C$37,Output!$A$20:$A$29,0),MATCH($C45,Output!$A$20:$AH$20,0))*100</f>
        <v>8.5108585932925251</v>
      </c>
      <c r="E45" s="95">
        <v>8</v>
      </c>
      <c r="F45" s="95" t="str">
        <f t="shared" si="4"/>
        <v>Vector Lines</v>
      </c>
      <c r="G45" s="140">
        <f>INDEX(Output!$A$20:$AH$29,MATCH(F$37,Output!$A$20:$A$29,0),MATCH(F45,Output!$A$20:$AH$20,0))*100</f>
        <v>15.116302809212613</v>
      </c>
      <c r="H45" s="68"/>
      <c r="I45" s="68"/>
      <c r="J45" s="68"/>
      <c r="K45" s="95">
        <f t="shared" si="6"/>
        <v>1</v>
      </c>
      <c r="L45" s="95" t="s">
        <v>21</v>
      </c>
      <c r="M45" s="140">
        <f>INDEX(Output!$A$20:$AH$29,MATCH(L$37,Output!$A$20:$A$29,0),MATCH($C45,Output!$A$20:$AH$20,0))*100</f>
        <v>345.42350535163189</v>
      </c>
      <c r="N45" s="95">
        <v>8</v>
      </c>
      <c r="O45" s="95" t="str">
        <f t="shared" si="7"/>
        <v>OtagoNet</v>
      </c>
      <c r="P45" s="140">
        <f>INDEX(Output!$A$20:$AH$29,MATCH(O$37,Output!$A$20:$A$29,0),MATCH(O45,Output!$A$20:$AH$20,0))*100</f>
        <v>39.797740843169493</v>
      </c>
      <c r="Q45" s="68"/>
      <c r="R45" s="68"/>
      <c r="S45" s="121"/>
      <c r="T45" s="95">
        <f t="shared" si="8"/>
        <v>2</v>
      </c>
      <c r="U45" s="95" t="s">
        <v>21</v>
      </c>
      <c r="V45" s="140">
        <f>INDEX(Output!$A$7:$S$19,MATCH(U$37,Output!$A$7:$A$19,0),MATCH($U45,Output!$A$7:$S$7,0))*100</f>
        <v>-9.9671757911199084</v>
      </c>
      <c r="W45" s="95">
        <v>8</v>
      </c>
      <c r="X45" s="95" t="str">
        <f t="shared" si="9"/>
        <v>Horizon Energy</v>
      </c>
      <c r="Y45" s="140">
        <f>INDEX(Output!$A$7:$S$19,MATCH(X$37,Output!$A$7:$A$19,0),MATCH(X45,Output!$A$7:$S$7,0))*100</f>
        <v>3.8650452987731621</v>
      </c>
      <c r="Z45" s="68"/>
      <c r="AA45" s="95">
        <f t="shared" si="10"/>
        <v>16</v>
      </c>
      <c r="AB45" s="95" t="s">
        <v>21</v>
      </c>
      <c r="AC45" s="140">
        <f>INDEX(Output!$A$7:$S$19,MATCH(AB$37,Output!$A$7:$A$19,0),MATCH($U45,Output!$A$7:$S$7,0))*100</f>
        <v>193.10126436075464</v>
      </c>
      <c r="AD45" s="95">
        <v>8</v>
      </c>
      <c r="AE45" s="95" t="str">
        <f t="shared" si="11"/>
        <v>Powerco</v>
      </c>
      <c r="AF45" s="140">
        <f>INDEX(Output!$A$7:$S$19,MATCH(AE$37,Output!$A$7:$A$19,0),MATCH(AE45,Output!$A$7:$S$7,0))*100</f>
        <v>12.560106659282733</v>
      </c>
      <c r="AH45" s="95">
        <f t="shared" si="12"/>
        <v>1</v>
      </c>
      <c r="AI45" s="95" t="s">
        <v>21</v>
      </c>
      <c r="AJ45" s="140">
        <f>INDEX(Output!$A$7:$S$19,MATCH(AI$37,Output!$A$7:$A$19,0),MATCH($U45,Output!$A$7:$S$7,0))*100</f>
        <v>-67.855919617682218</v>
      </c>
      <c r="AK45" s="95">
        <v>8</v>
      </c>
      <c r="AL45" s="95" t="str">
        <f t="shared" si="13"/>
        <v>Aurora Energy</v>
      </c>
      <c r="AM45" s="140">
        <f>INDEX(Output!$A$7:$S$19,MATCH(AL$37,Output!$A$7:$A$19,0),MATCH(AL45,Output!$A$7:$S$7,0))*100</f>
        <v>-19.451826472041091</v>
      </c>
    </row>
    <row r="46" spans="1:39" x14ac:dyDescent="0.25">
      <c r="A46" s="68"/>
      <c r="B46" s="95">
        <f t="shared" si="5"/>
        <v>10</v>
      </c>
      <c r="C46" s="95" t="s">
        <v>22</v>
      </c>
      <c r="D46" s="140">
        <f>INDEX(Output!$A$20:$AH$29,MATCH(C$37,Output!$A$20:$A$29,0),MATCH($C46,Output!$A$20:$AH$20,0))*100</f>
        <v>9.0679530148082055</v>
      </c>
      <c r="E46" s="95">
        <v>9</v>
      </c>
      <c r="F46" s="95" t="str">
        <f t="shared" si="4"/>
        <v>Aurora Energy</v>
      </c>
      <c r="G46" s="140">
        <f>INDEX(Output!$A$20:$AH$29,MATCH(F$37,Output!$A$20:$A$29,0),MATCH(F46,Output!$A$20:$AH$20,0))*100</f>
        <v>13.448372538167487</v>
      </c>
      <c r="H46" s="68"/>
      <c r="I46" s="68"/>
      <c r="J46" s="68"/>
      <c r="K46" s="95">
        <f t="shared" si="6"/>
        <v>3</v>
      </c>
      <c r="L46" s="95" t="s">
        <v>22</v>
      </c>
      <c r="M46" s="140">
        <f>INDEX(Output!$A$20:$AH$29,MATCH(L$37,Output!$A$20:$A$29,0),MATCH($C46,Output!$A$20:$AH$20,0))*100</f>
        <v>96.155539313774938</v>
      </c>
      <c r="N46" s="95">
        <v>9</v>
      </c>
      <c r="O46" s="95" t="str">
        <f t="shared" si="7"/>
        <v>Powerco</v>
      </c>
      <c r="P46" s="140">
        <f>INDEX(Output!$A$20:$AH$29,MATCH(O$37,Output!$A$20:$A$29,0),MATCH(O46,Output!$A$20:$AH$20,0))*100</f>
        <v>25.497410023117762</v>
      </c>
      <c r="Q46" s="68"/>
      <c r="R46" s="68"/>
      <c r="S46" s="112"/>
      <c r="T46" s="95">
        <f t="shared" si="8"/>
        <v>9</v>
      </c>
      <c r="U46" s="95" t="s">
        <v>22</v>
      </c>
      <c r="V46" s="140">
        <f>INDEX(Output!$A$7:$S$19,MATCH(U$37,Output!$A$7:$A$19,0),MATCH($U46,Output!$A$7:$S$7,0))*100</f>
        <v>11.452070396300895</v>
      </c>
      <c r="W46" s="95">
        <v>9</v>
      </c>
      <c r="X46" s="95" t="str">
        <f t="shared" si="9"/>
        <v>Network Tasman</v>
      </c>
      <c r="Y46" s="140">
        <f>INDEX(Output!$A$7:$S$19,MATCH(X$37,Output!$A$7:$A$19,0),MATCH(X46,Output!$A$7:$S$7,0))*100</f>
        <v>11.452070396300895</v>
      </c>
      <c r="Z46" s="68"/>
      <c r="AA46" s="95">
        <f t="shared" si="10"/>
        <v>10</v>
      </c>
      <c r="AB46" s="95" t="s">
        <v>22</v>
      </c>
      <c r="AC46" s="140">
        <f>INDEX(Output!$A$7:$S$19,MATCH(AB$37,Output!$A$7:$A$19,0),MATCH($U46,Output!$A$7:$S$7,0))*100</f>
        <v>37.121576056469152</v>
      </c>
      <c r="AD46" s="95">
        <v>9</v>
      </c>
      <c r="AE46" s="95" t="str">
        <f t="shared" si="11"/>
        <v>OtagoNet</v>
      </c>
      <c r="AF46" s="140">
        <f>INDEX(Output!$A$7:$S$19,MATCH(AE$37,Output!$A$7:$A$19,0),MATCH(AE46,Output!$A$7:$S$7,0))*100</f>
        <v>29.782858604086293</v>
      </c>
      <c r="AH46" s="95">
        <f t="shared" si="12"/>
        <v>3</v>
      </c>
      <c r="AI46" s="95" t="s">
        <v>22</v>
      </c>
      <c r="AJ46" s="140">
        <f>INDEX(Output!$A$7:$S$19,MATCH(AI$37,Output!$A$7:$A$19,0),MATCH($U46,Output!$A$7:$S$7,0))*100</f>
        <v>-38.225336461398349</v>
      </c>
      <c r="AK46" s="95">
        <v>9</v>
      </c>
      <c r="AL46" s="95" t="str">
        <f t="shared" si="13"/>
        <v>Top Energy</v>
      </c>
      <c r="AM46" s="140">
        <f>INDEX(Output!$A$7:$S$19,MATCH(AL$37,Output!$A$7:$A$19,0),MATCH(AL46,Output!$A$7:$S$7,0))*100</f>
        <v>-18.147608905269188</v>
      </c>
    </row>
    <row r="47" spans="1:39" x14ac:dyDescent="0.25">
      <c r="A47" s="68"/>
      <c r="B47" s="95">
        <f t="shared" si="5"/>
        <v>2</v>
      </c>
      <c r="C47" s="95" t="s">
        <v>26</v>
      </c>
      <c r="D47" s="140">
        <f>INDEX(Output!$A$20:$AH$29,MATCH(C$37,Output!$A$20:$A$29,0),MATCH($C47,Output!$A$20:$AH$20,0))*100</f>
        <v>35.495740053923441</v>
      </c>
      <c r="E47" s="95">
        <v>10</v>
      </c>
      <c r="F47" s="95" t="str">
        <f t="shared" si="4"/>
        <v>Network Tasman</v>
      </c>
      <c r="G47" s="140">
        <f>INDEX(Output!$A$20:$AH$29,MATCH(F$37,Output!$A$20:$A$29,0),MATCH(F47,Output!$A$20:$AH$20,0))*100</f>
        <v>9.0679530148082055</v>
      </c>
      <c r="H47" s="68"/>
      <c r="I47" s="68"/>
      <c r="J47" s="68"/>
      <c r="K47" s="95">
        <f t="shared" si="6"/>
        <v>8</v>
      </c>
      <c r="L47" s="95" t="s">
        <v>26</v>
      </c>
      <c r="M47" s="140">
        <f>INDEX(Output!$A$20:$AH$29,MATCH(L$37,Output!$A$20:$A$29,0),MATCH($C47,Output!$A$20:$AH$20,0))*100</f>
        <v>39.797740843169493</v>
      </c>
      <c r="N47" s="95">
        <v>10</v>
      </c>
      <c r="O47" s="95" t="str">
        <f t="shared" si="7"/>
        <v>Electricity Ashburton</v>
      </c>
      <c r="P47" s="140">
        <f>INDEX(Output!$A$20:$AH$29,MATCH(O$37,Output!$A$20:$A$29,0),MATCH(O47,Output!$A$20:$AH$20,0))*100</f>
        <v>25.204380379628887</v>
      </c>
      <c r="Q47" s="68"/>
      <c r="R47" s="68"/>
      <c r="S47" s="121"/>
      <c r="T47" s="95">
        <f t="shared" si="8"/>
        <v>15</v>
      </c>
      <c r="U47" s="95" t="s">
        <v>26</v>
      </c>
      <c r="V47" s="140">
        <f>INDEX(Output!$A$7:$S$19,MATCH(U$37,Output!$A$7:$A$19,0),MATCH($U47,Output!$A$7:$S$7,0))*100</f>
        <v>34.898733634407186</v>
      </c>
      <c r="W47" s="95">
        <v>10</v>
      </c>
      <c r="X47" s="95" t="str">
        <f t="shared" si="9"/>
        <v>The Lines Company</v>
      </c>
      <c r="Y47" s="140">
        <f>INDEX(Output!$A$7:$S$19,MATCH(X$37,Output!$A$7:$A$19,0),MATCH(X47,Output!$A$7:$S$7,0))*100</f>
        <v>12.105027356746433</v>
      </c>
      <c r="Z47" s="68"/>
      <c r="AA47" s="95">
        <f t="shared" si="10"/>
        <v>9</v>
      </c>
      <c r="AB47" s="95" t="s">
        <v>26</v>
      </c>
      <c r="AC47" s="140">
        <f>INDEX(Output!$A$7:$S$19,MATCH(AB$37,Output!$A$7:$A$19,0),MATCH($U47,Output!$A$7:$S$7,0))*100</f>
        <v>29.782858604086293</v>
      </c>
      <c r="AD47" s="95">
        <v>10</v>
      </c>
      <c r="AE47" s="95" t="str">
        <f t="shared" si="11"/>
        <v>Network Tasman</v>
      </c>
      <c r="AF47" s="140">
        <f>INDEX(Output!$A$7:$S$19,MATCH(AE$37,Output!$A$7:$A$19,0),MATCH(AE47,Output!$A$7:$S$7,0))*100</f>
        <v>37.121576056469152</v>
      </c>
      <c r="AH47" s="95">
        <f t="shared" si="12"/>
        <v>5</v>
      </c>
      <c r="AI47" s="95" t="s">
        <v>26</v>
      </c>
      <c r="AJ47" s="140">
        <f>INDEX(Output!$A$7:$S$19,MATCH(AI$37,Output!$A$7:$A$19,0),MATCH($U47,Output!$A$7:$S$7,0))*100</f>
        <v>-24.3791716069505</v>
      </c>
      <c r="AK47" s="95">
        <v>10</v>
      </c>
      <c r="AL47" s="95" t="str">
        <f t="shared" si="13"/>
        <v>Electricity Invercargill</v>
      </c>
      <c r="AM47" s="140">
        <f>INDEX(Output!$A$7:$S$19,MATCH(AL$37,Output!$A$7:$A$19,0),MATCH(AL47,Output!$A$7:$S$7,0))*100</f>
        <v>-17.796636471985373</v>
      </c>
    </row>
    <row r="48" spans="1:39" x14ac:dyDescent="0.25">
      <c r="A48" s="68"/>
      <c r="B48" s="95">
        <f t="shared" si="5"/>
        <v>13</v>
      </c>
      <c r="C48" s="95" t="s">
        <v>27</v>
      </c>
      <c r="D48" s="140">
        <f>INDEX(Output!$A$20:$AH$29,MATCH(C$37,Output!$A$20:$A$29,0),MATCH($C48,Output!$A$20:$AH$20,0))*100</f>
        <v>7.7598265734194483</v>
      </c>
      <c r="E48" s="95">
        <v>11</v>
      </c>
      <c r="F48" s="95" t="str">
        <f t="shared" si="4"/>
        <v>Nelson Electricity</v>
      </c>
      <c r="G48" s="140">
        <f>INDEX(Output!$A$20:$AH$29,MATCH(F$37,Output!$A$20:$A$29,0),MATCH(F48,Output!$A$20:$AH$20,0))*100</f>
        <v>8.5108585932925251</v>
      </c>
      <c r="H48" s="68"/>
      <c r="I48" s="68"/>
      <c r="J48" s="68"/>
      <c r="K48" s="95">
        <f t="shared" si="6"/>
        <v>9</v>
      </c>
      <c r="L48" s="95" t="s">
        <v>27</v>
      </c>
      <c r="M48" s="140">
        <f>INDEX(Output!$A$20:$AH$29,MATCH(L$37,Output!$A$20:$A$29,0),MATCH($C48,Output!$A$20:$AH$20,0))*100</f>
        <v>25.497410023117762</v>
      </c>
      <c r="N48" s="95">
        <v>11</v>
      </c>
      <c r="O48" s="95" t="str">
        <f t="shared" si="7"/>
        <v>Vector Lines</v>
      </c>
      <c r="P48" s="140">
        <f>INDEX(Output!$A$20:$AH$29,MATCH(O$37,Output!$A$20:$A$29,0),MATCH(O48,Output!$A$20:$AH$20,0))*100</f>
        <v>17.827738541378977</v>
      </c>
      <c r="Q48" s="68"/>
      <c r="R48" s="68"/>
      <c r="S48" s="112"/>
      <c r="T48" s="95">
        <f t="shared" si="8"/>
        <v>6</v>
      </c>
      <c r="U48" s="95" t="s">
        <v>27</v>
      </c>
      <c r="V48" s="140">
        <f>INDEX(Output!$A$7:$S$19,MATCH(U$37,Output!$A$7:$A$19,0),MATCH($U48,Output!$A$7:$S$7,0))*100</f>
        <v>1.4456838233321889</v>
      </c>
      <c r="W48" s="95">
        <v>11</v>
      </c>
      <c r="X48" s="95" t="str">
        <f t="shared" si="9"/>
        <v>Eastland Network</v>
      </c>
      <c r="Y48" s="140">
        <f>INDEX(Output!$A$7:$S$19,MATCH(X$37,Output!$A$7:$A$19,0),MATCH(X48,Output!$A$7:$S$7,0))*100</f>
        <v>19.289196709198244</v>
      </c>
      <c r="Z48" s="68"/>
      <c r="AA48" s="95">
        <f t="shared" si="10"/>
        <v>8</v>
      </c>
      <c r="AB48" s="95" t="s">
        <v>27</v>
      </c>
      <c r="AC48" s="140">
        <f>INDEX(Output!$A$7:$S$19,MATCH(AB$37,Output!$A$7:$A$19,0),MATCH($U48,Output!$A$7:$S$7,0))*100</f>
        <v>12.560106659282733</v>
      </c>
      <c r="AD48" s="95">
        <v>11</v>
      </c>
      <c r="AE48" s="95" t="str">
        <f t="shared" si="11"/>
        <v>Eastland Network</v>
      </c>
      <c r="AF48" s="140">
        <f>INDEX(Output!$A$7:$S$19,MATCH(AE$37,Output!$A$7:$A$19,0),MATCH(AE48,Output!$A$7:$S$7,0))*100</f>
        <v>56.160809168014467</v>
      </c>
      <c r="AH48" s="95">
        <f t="shared" si="12"/>
        <v>11</v>
      </c>
      <c r="AI48" s="95" t="s">
        <v>27</v>
      </c>
      <c r="AJ48" s="140">
        <f>INDEX(Output!$A$7:$S$19,MATCH(AI$37,Output!$A$7:$A$19,0),MATCH($U48,Output!$A$7:$S$7,0))*100</f>
        <v>-6.6304240871268849</v>
      </c>
      <c r="AK48" s="95">
        <v>11</v>
      </c>
      <c r="AL48" s="95" t="str">
        <f t="shared" si="13"/>
        <v>Powerco</v>
      </c>
      <c r="AM48" s="140">
        <f>INDEX(Output!$A$7:$S$19,MATCH(AL$37,Output!$A$7:$A$19,0),MATCH(AL48,Output!$A$7:$S$7,0))*100</f>
        <v>-6.6304240871268849</v>
      </c>
    </row>
    <row r="49" spans="1:39" x14ac:dyDescent="0.25">
      <c r="A49" s="68"/>
      <c r="B49" s="95">
        <f t="shared" si="5"/>
        <v>1</v>
      </c>
      <c r="C49" s="95" t="s">
        <v>29</v>
      </c>
      <c r="D49" s="140">
        <f>INDEX(Output!$A$20:$AH$29,MATCH(C$37,Output!$A$20:$A$29,0),MATCH($C49,Output!$A$20:$AH$20,0))*100</f>
        <v>39.780186821643035</v>
      </c>
      <c r="E49" s="95">
        <v>12</v>
      </c>
      <c r="F49" s="95" t="str">
        <f t="shared" si="4"/>
        <v>Electricity Invercargill</v>
      </c>
      <c r="G49" s="140">
        <f>INDEX(Output!$A$20:$AH$29,MATCH(F$37,Output!$A$20:$A$29,0),MATCH(F49,Output!$A$20:$AH$20,0))*100</f>
        <v>7.9952780278018887</v>
      </c>
      <c r="H49" s="68"/>
      <c r="I49" s="68"/>
      <c r="J49" s="68"/>
      <c r="K49" s="95">
        <f t="shared" si="6"/>
        <v>12</v>
      </c>
      <c r="L49" s="95" t="s">
        <v>29</v>
      </c>
      <c r="M49" s="140">
        <f>INDEX(Output!$A$20:$AH$29,MATCH(L$37,Output!$A$20:$A$29,0),MATCH($C49,Output!$A$20:$AH$20,0))*100</f>
        <v>11.277323029744114</v>
      </c>
      <c r="N49" s="95">
        <v>12</v>
      </c>
      <c r="O49" s="95" t="str">
        <f t="shared" si="7"/>
        <v>The Lines Company</v>
      </c>
      <c r="P49" s="140">
        <f>INDEX(Output!$A$20:$AH$29,MATCH(O$37,Output!$A$20:$A$29,0),MATCH(O49,Output!$A$20:$AH$20,0))*100</f>
        <v>11.277323029744114</v>
      </c>
      <c r="Q49" s="68"/>
      <c r="R49" s="68"/>
      <c r="S49" s="112"/>
      <c r="T49" s="95">
        <f t="shared" si="8"/>
        <v>10</v>
      </c>
      <c r="U49" s="95" t="s">
        <v>29</v>
      </c>
      <c r="V49" s="140">
        <f>INDEX(Output!$A$7:$S$19,MATCH(U$37,Output!$A$7:$A$19,0),MATCH($U49,Output!$A$7:$S$7,0))*100</f>
        <v>12.105027356746433</v>
      </c>
      <c r="W49" s="95">
        <v>12</v>
      </c>
      <c r="X49" s="95" t="str">
        <f t="shared" si="9"/>
        <v>Unison Networks</v>
      </c>
      <c r="Y49" s="140">
        <f>INDEX(Output!$A$7:$S$19,MATCH(X$37,Output!$A$7:$A$19,0),MATCH(X49,Output!$A$7:$S$7,0))*100</f>
        <v>19.799103206795031</v>
      </c>
      <c r="Z49" s="68"/>
      <c r="AA49" s="95">
        <f t="shared" si="10"/>
        <v>7</v>
      </c>
      <c r="AB49" s="95" t="s">
        <v>29</v>
      </c>
      <c r="AC49" s="140">
        <f>INDEX(Output!$A$7:$S$19,MATCH(AB$37,Output!$A$7:$A$19,0),MATCH($U49,Output!$A$7:$S$7,0))*100</f>
        <v>5.1647501131611762</v>
      </c>
      <c r="AD49" s="95">
        <v>12</v>
      </c>
      <c r="AE49" s="95" t="str">
        <f t="shared" si="11"/>
        <v>Horizon Energy</v>
      </c>
      <c r="AF49" s="140">
        <f>INDEX(Output!$A$7:$S$19,MATCH(AE$37,Output!$A$7:$A$19,0),MATCH(AE49,Output!$A$7:$S$7,0))*100</f>
        <v>58.141783213752248</v>
      </c>
      <c r="AH49" s="95">
        <f t="shared" si="12"/>
        <v>13</v>
      </c>
      <c r="AI49" s="95" t="s">
        <v>29</v>
      </c>
      <c r="AJ49" s="140">
        <f>INDEX(Output!$A$7:$S$19,MATCH(AI$37,Output!$A$7:$A$19,0),MATCH($U49,Output!$A$7:$S$7,0))*100</f>
        <v>-1.9885160432700277</v>
      </c>
      <c r="AK49" s="95">
        <v>12</v>
      </c>
      <c r="AL49" s="95" t="str">
        <f t="shared" si="13"/>
        <v>Vector Lines</v>
      </c>
      <c r="AM49" s="140">
        <f>INDEX(Output!$A$7:$S$19,MATCH(AL$37,Output!$A$7:$A$19,0),MATCH(AL49,Output!$A$7:$S$7,0))*100</f>
        <v>-6.5134173053328919</v>
      </c>
    </row>
    <row r="50" spans="1:39" x14ac:dyDescent="0.25">
      <c r="A50" s="68"/>
      <c r="B50" s="95">
        <f t="shared" si="5"/>
        <v>15</v>
      </c>
      <c r="C50" s="95" t="s">
        <v>31</v>
      </c>
      <c r="D50" s="140">
        <f>INDEX(Output!$A$20:$AH$29,MATCH(C$37,Output!$A$20:$A$29,0),MATCH($C50,Output!$A$20:$AH$20,0))*100</f>
        <v>5.5900157116412608</v>
      </c>
      <c r="E50" s="95">
        <v>13</v>
      </c>
      <c r="F50" s="95" t="str">
        <f t="shared" si="4"/>
        <v>Powerco</v>
      </c>
      <c r="G50" s="140">
        <f>INDEX(Output!$A$20:$AH$29,MATCH(F$37,Output!$A$20:$A$29,0),MATCH(F50,Output!$A$20:$AH$20,0))*100</f>
        <v>7.7598265734194483</v>
      </c>
      <c r="H50" s="68"/>
      <c r="I50" s="68"/>
      <c r="J50" s="68"/>
      <c r="K50" s="95">
        <f t="shared" si="6"/>
        <v>2</v>
      </c>
      <c r="L50" s="95" t="s">
        <v>31</v>
      </c>
      <c r="M50" s="140">
        <f>INDEX(Output!$A$20:$AH$29,MATCH(L$37,Output!$A$20:$A$29,0),MATCH($C50,Output!$A$20:$AH$20,0))*100</f>
        <v>103.28695762809912</v>
      </c>
      <c r="N50" s="95">
        <v>13</v>
      </c>
      <c r="O50" s="95" t="str">
        <f t="shared" si="7"/>
        <v>Unison Networks</v>
      </c>
      <c r="P50" s="140">
        <f>INDEX(Output!$A$20:$AH$29,MATCH(O$37,Output!$A$20:$A$29,0),MATCH(O50,Output!$A$20:$AH$20,0))*100</f>
        <v>10.829479922586248</v>
      </c>
      <c r="Q50" s="68"/>
      <c r="R50" s="68"/>
      <c r="S50" s="121"/>
      <c r="T50" s="95">
        <f t="shared" si="8"/>
        <v>7</v>
      </c>
      <c r="U50" s="95" t="s">
        <v>31</v>
      </c>
      <c r="V50" s="140">
        <f>INDEX(Output!$A$7:$S$19,MATCH(U$37,Output!$A$7:$A$19,0),MATCH($U50,Output!$A$7:$S$7,0))*100</f>
        <v>3.2333454377969861</v>
      </c>
      <c r="W50" s="95">
        <v>13</v>
      </c>
      <c r="X50" s="95" t="str">
        <f t="shared" si="9"/>
        <v>Alpine Energy</v>
      </c>
      <c r="Y50" s="140">
        <f>INDEX(Output!$A$7:$S$19,MATCH(X$37,Output!$A$7:$A$19,0),MATCH(X50,Output!$A$7:$S$7,0))*100</f>
        <v>24.822039739357884</v>
      </c>
      <c r="Z50" s="68"/>
      <c r="AA50" s="95">
        <f t="shared" si="10"/>
        <v>13</v>
      </c>
      <c r="AB50" s="95" t="s">
        <v>31</v>
      </c>
      <c r="AC50" s="140">
        <f>INDEX(Output!$A$7:$S$19,MATCH(AB$37,Output!$A$7:$A$19,0),MATCH($U50,Output!$A$7:$S$7,0))*100</f>
        <v>62.035342164642728</v>
      </c>
      <c r="AD50" s="95">
        <v>13</v>
      </c>
      <c r="AE50" s="95" t="str">
        <f t="shared" si="11"/>
        <v>Top Energy</v>
      </c>
      <c r="AF50" s="140">
        <f>INDEX(Output!$A$7:$S$19,MATCH(AE$37,Output!$A$7:$A$19,0),MATCH(AE50,Output!$A$7:$S$7,0))*100</f>
        <v>62.035342164642728</v>
      </c>
      <c r="AH50" s="95">
        <f t="shared" si="12"/>
        <v>9</v>
      </c>
      <c r="AI50" s="95" t="s">
        <v>31</v>
      </c>
      <c r="AJ50" s="140">
        <f>INDEX(Output!$A$7:$S$19,MATCH(AI$37,Output!$A$7:$A$19,0),MATCH($U50,Output!$A$7:$S$7,0))*100</f>
        <v>-18.147608905269188</v>
      </c>
      <c r="AK50" s="95">
        <v>13</v>
      </c>
      <c r="AL50" s="95" t="str">
        <f t="shared" si="13"/>
        <v>The Lines Company</v>
      </c>
      <c r="AM50" s="140">
        <f>INDEX(Output!$A$7:$S$19,MATCH(AL$37,Output!$A$7:$A$19,0),MATCH(AL50,Output!$A$7:$S$7,0))*100</f>
        <v>-1.9885160432700277</v>
      </c>
    </row>
    <row r="51" spans="1:39" x14ac:dyDescent="0.25">
      <c r="A51" s="68"/>
      <c r="B51" s="95">
        <f t="shared" si="5"/>
        <v>7</v>
      </c>
      <c r="C51" s="95" t="s">
        <v>165</v>
      </c>
      <c r="D51" s="140">
        <f>INDEX(Output!$A$20:$AH$29,MATCH(C$37,Output!$A$20:$A$29,0),MATCH($C51,Output!$A$20:$AH$20,0))*100</f>
        <v>27.453156880651175</v>
      </c>
      <c r="E51" s="95">
        <v>14</v>
      </c>
      <c r="F51" s="95" t="str">
        <f t="shared" si="4"/>
        <v>Horizon Energy</v>
      </c>
      <c r="G51" s="140">
        <f>INDEX(Output!$A$20:$AH$29,MATCH(F$37,Output!$A$20:$A$29,0),MATCH(F51,Output!$A$20:$AH$20,0))*100</f>
        <v>6.522656654355008</v>
      </c>
      <c r="H51" s="68"/>
      <c r="I51" s="68"/>
      <c r="J51" s="68"/>
      <c r="K51" s="95">
        <f t="shared" si="6"/>
        <v>13</v>
      </c>
      <c r="L51" s="95" t="s">
        <v>165</v>
      </c>
      <c r="M51" s="140">
        <f>INDEX(Output!$A$20:$AH$29,MATCH(L$37,Output!$A$20:$A$29,0),MATCH($C51,Output!$A$20:$AH$20,0))*100</f>
        <v>10.829479922586248</v>
      </c>
      <c r="N51" s="95">
        <v>14</v>
      </c>
      <c r="O51" s="95" t="str">
        <f t="shared" si="7"/>
        <v>Wellington Electricity</v>
      </c>
      <c r="P51" s="140">
        <f>INDEX(Output!$A$20:$AH$29,MATCH(O$37,Output!$A$20:$A$29,0),MATCH(O51,Output!$A$20:$AH$20,0))*100</f>
        <v>3.5878454241121238</v>
      </c>
      <c r="Q51" s="68"/>
      <c r="R51" s="68"/>
      <c r="S51" s="112"/>
      <c r="T51" s="95">
        <f t="shared" si="8"/>
        <v>12</v>
      </c>
      <c r="U51" s="95" t="s">
        <v>165</v>
      </c>
      <c r="V51" s="140">
        <f>INDEX(Output!$A$7:$S$19,MATCH(U$37,Output!$A$7:$A$19,0),MATCH($U51,Output!$A$7:$S$7,0))*100</f>
        <v>19.799103206795031</v>
      </c>
      <c r="W51" s="95">
        <v>14</v>
      </c>
      <c r="X51" s="95" t="str">
        <f t="shared" si="9"/>
        <v>Electricity Ashburton</v>
      </c>
      <c r="Y51" s="140">
        <f>INDEX(Output!$A$7:$S$19,MATCH(X$37,Output!$A$7:$A$19,0),MATCH(X51,Output!$A$7:$S$7,0))*100</f>
        <v>30.120203328177109</v>
      </c>
      <c r="Z51" s="68"/>
      <c r="AA51" s="95">
        <f t="shared" si="10"/>
        <v>5</v>
      </c>
      <c r="AB51" s="95" t="s">
        <v>165</v>
      </c>
      <c r="AC51" s="140">
        <f>INDEX(Output!$A$7:$S$19,MATCH(AB$37,Output!$A$7:$A$19,0),MATCH($U51,Output!$A$7:$S$7,0))*100</f>
        <v>-8.467590444197338</v>
      </c>
      <c r="AD51" s="95">
        <v>14</v>
      </c>
      <c r="AE51" s="95" t="str">
        <f t="shared" si="11"/>
        <v>Electricity Invercargill</v>
      </c>
      <c r="AF51" s="140">
        <f>INDEX(Output!$A$7:$S$19,MATCH(AE$37,Output!$A$7:$A$19,0),MATCH(AE51,Output!$A$7:$S$7,0))*100</f>
        <v>67.839211183667686</v>
      </c>
      <c r="AH51" s="95">
        <f t="shared" si="12"/>
        <v>6</v>
      </c>
      <c r="AI51" s="95" t="s">
        <v>165</v>
      </c>
      <c r="AJ51" s="140">
        <f>INDEX(Output!$A$7:$S$19,MATCH(AI$37,Output!$A$7:$A$19,0),MATCH($U51,Output!$A$7:$S$7,0))*100</f>
        <v>-24.184322171036321</v>
      </c>
      <c r="AK51" s="95">
        <v>14</v>
      </c>
      <c r="AL51" s="95" t="str">
        <f t="shared" si="13"/>
        <v>Eastland Network</v>
      </c>
      <c r="AM51" s="140">
        <f>INDEX(Output!$A$7:$S$19,MATCH(AL$37,Output!$A$7:$A$19,0),MATCH(AL51,Output!$A$7:$S$7,0))*100</f>
        <v>-6.5321664794337764E-3</v>
      </c>
    </row>
    <row r="52" spans="1:39" x14ac:dyDescent="0.25">
      <c r="A52" s="68"/>
      <c r="B52" s="95">
        <f t="shared" si="5"/>
        <v>8</v>
      </c>
      <c r="C52" s="95" t="s">
        <v>167</v>
      </c>
      <c r="D52" s="140">
        <f>INDEX(Output!$A$20:$AH$29,MATCH(C$37,Output!$A$20:$A$29,0),MATCH($C52,Output!$A$20:$AH$20,0))*100</f>
        <v>15.116302809212613</v>
      </c>
      <c r="E52" s="95">
        <v>15</v>
      </c>
      <c r="F52" s="95" t="str">
        <f t="shared" si="4"/>
        <v>Top Energy</v>
      </c>
      <c r="G52" s="140">
        <f>INDEX(Output!$A$20:$AH$29,MATCH(F$37,Output!$A$20:$A$29,0),MATCH(F52,Output!$A$20:$AH$20,0))*100</f>
        <v>5.5900157116412608</v>
      </c>
      <c r="H52" s="68"/>
      <c r="I52" s="68"/>
      <c r="J52" s="68"/>
      <c r="K52" s="95">
        <f t="shared" si="6"/>
        <v>11</v>
      </c>
      <c r="L52" s="95" t="s">
        <v>167</v>
      </c>
      <c r="M52" s="140">
        <f>INDEX(Output!$A$20:$AH$29,MATCH(L$37,Output!$A$20:$A$29,0),MATCH($C52,Output!$A$20:$AH$20,0))*100</f>
        <v>17.827738541378977</v>
      </c>
      <c r="N52" s="95">
        <v>15</v>
      </c>
      <c r="O52" s="95" t="str">
        <f t="shared" si="7"/>
        <v>Aurora Energy</v>
      </c>
      <c r="P52" s="140">
        <f>INDEX(Output!$A$20:$AH$29,MATCH(O$37,Output!$A$20:$A$29,0),MATCH(O52,Output!$A$20:$AH$20,0))*100</f>
        <v>2.5139545012709652</v>
      </c>
      <c r="Q52" s="68"/>
      <c r="R52" s="68"/>
      <c r="S52" s="112"/>
      <c r="T52" s="95">
        <f t="shared" si="8"/>
        <v>3</v>
      </c>
      <c r="U52" s="95" t="s">
        <v>167</v>
      </c>
      <c r="V52" s="140">
        <f>INDEX(Output!$A$7:$S$19,MATCH(U$37,Output!$A$7:$A$19,0),MATCH($U52,Output!$A$7:$S$7,0))*100</f>
        <v>-6.8784748305170007</v>
      </c>
      <c r="W52" s="95">
        <v>15</v>
      </c>
      <c r="X52" s="95" t="str">
        <f t="shared" si="9"/>
        <v>OtagoNet</v>
      </c>
      <c r="Y52" s="140">
        <f>INDEX(Output!$A$7:$S$19,MATCH(X$37,Output!$A$7:$A$19,0),MATCH(X52,Output!$A$7:$S$7,0))*100</f>
        <v>34.898733634407186</v>
      </c>
      <c r="Z52" s="68"/>
      <c r="AA52" s="95">
        <f t="shared" si="10"/>
        <v>4</v>
      </c>
      <c r="AB52" s="95" t="s">
        <v>167</v>
      </c>
      <c r="AC52" s="140">
        <f>INDEX(Output!$A$7:$S$19,MATCH(AB$37,Output!$A$7:$A$19,0),MATCH($U52,Output!$A$7:$S$7,0))*100</f>
        <v>-11.18212374009353</v>
      </c>
      <c r="AD52" s="95">
        <v>15</v>
      </c>
      <c r="AE52" s="95" t="str">
        <f t="shared" si="11"/>
        <v>Electricity Ashburton</v>
      </c>
      <c r="AF52" s="140">
        <f>INDEX(Output!$A$7:$S$19,MATCH(AE$37,Output!$A$7:$A$19,0),MATCH(AE52,Output!$A$7:$S$7,0))*100</f>
        <v>71.068521941466003</v>
      </c>
      <c r="AH52" s="95">
        <f t="shared" si="12"/>
        <v>12</v>
      </c>
      <c r="AI52" s="95" t="s">
        <v>167</v>
      </c>
      <c r="AJ52" s="140">
        <f>INDEX(Output!$A$7:$S$19,MATCH(AI$37,Output!$A$7:$A$19,0),MATCH($U52,Output!$A$7:$S$7,0))*100</f>
        <v>-6.5134173053328919</v>
      </c>
      <c r="AK52" s="95">
        <v>15</v>
      </c>
      <c r="AL52" s="95" t="str">
        <f t="shared" si="13"/>
        <v>Electricity Ashburton</v>
      </c>
      <c r="AM52" s="140">
        <f>INDEX(Output!$A$7:$S$19,MATCH(AL$37,Output!$A$7:$A$19,0),MATCH(AL52,Output!$A$7:$S$7,0))*100</f>
        <v>3.1889031727778017</v>
      </c>
    </row>
    <row r="53" spans="1:39" x14ac:dyDescent="0.25">
      <c r="A53" s="68"/>
      <c r="B53" s="95">
        <f t="shared" si="5"/>
        <v>16</v>
      </c>
      <c r="C53" s="95" t="s">
        <v>33</v>
      </c>
      <c r="D53" s="140">
        <f>INDEX(Output!$A$20:$AH$29,MATCH(C$37,Output!$A$20:$A$29,0),MATCH($C53,Output!$A$20:$AH$20,0))*100</f>
        <v>-6.9076725131581469</v>
      </c>
      <c r="E53" s="95">
        <v>16</v>
      </c>
      <c r="F53" s="95" t="str">
        <f t="shared" si="4"/>
        <v>Wellington Electricity</v>
      </c>
      <c r="G53" s="140">
        <f>INDEX(Output!$A$20:$AH$29,MATCH(F$37,Output!$A$20:$A$29,0),MATCH(F53,Output!$A$20:$AH$20,0))*100</f>
        <v>-6.9076725131581469</v>
      </c>
      <c r="H53" s="68"/>
      <c r="I53" s="68"/>
      <c r="J53" s="68"/>
      <c r="K53" s="95">
        <f t="shared" si="6"/>
        <v>14</v>
      </c>
      <c r="L53" s="95" t="s">
        <v>33</v>
      </c>
      <c r="M53" s="140">
        <f>INDEX(Output!$A$20:$AH$29,MATCH(L$37,Output!$A$20:$A$29,0),MATCH($C53,Output!$A$20:$AH$20,0))*100</f>
        <v>3.5878454241121238</v>
      </c>
      <c r="N53" s="95">
        <v>16</v>
      </c>
      <c r="O53" s="95" t="str">
        <f t="shared" si="7"/>
        <v>Centralines</v>
      </c>
      <c r="P53" s="140">
        <f>INDEX(Output!$A$20:$AH$29,MATCH(O$37,Output!$A$20:$A$29,0),MATCH(O53,Output!$A$20:$AH$20,0))*100</f>
        <v>-34.158959604192972</v>
      </c>
      <c r="Q53" s="68"/>
      <c r="R53" s="68"/>
      <c r="S53" s="121"/>
      <c r="T53" s="95">
        <f t="shared" si="8"/>
        <v>1</v>
      </c>
      <c r="U53" s="95" t="s">
        <v>33</v>
      </c>
      <c r="V53" s="140">
        <f>INDEX(Output!$A$7:$S$19,MATCH(U$37,Output!$A$7:$A$19,0),MATCH($U53,Output!$A$7:$S$7,0))*100</f>
        <v>-15.437482832996608</v>
      </c>
      <c r="W53" s="95">
        <v>16</v>
      </c>
      <c r="X53" s="95" t="str">
        <f t="shared" si="9"/>
        <v>Centralines</v>
      </c>
      <c r="Y53" s="140">
        <f>INDEX(Output!$A$7:$S$19,MATCH(X$37,Output!$A$7:$A$19,0),MATCH(X53,Output!$A$7:$S$7,0))*100</f>
        <v>40.174450578072211</v>
      </c>
      <c r="Z53" s="68"/>
      <c r="AA53" s="95">
        <f t="shared" si="10"/>
        <v>3</v>
      </c>
      <c r="AB53" s="95" t="s">
        <v>33</v>
      </c>
      <c r="AC53" s="140">
        <f>INDEX(Output!$A$7:$S$19,MATCH(AB$37,Output!$A$7:$A$19,0),MATCH($U53,Output!$A$7:$S$7,0))*100</f>
        <v>-14.874151957721693</v>
      </c>
      <c r="AD53" s="95">
        <v>16</v>
      </c>
      <c r="AE53" s="95" t="str">
        <f t="shared" si="11"/>
        <v>Nelson Electricity</v>
      </c>
      <c r="AF53" s="140">
        <f>INDEX(Output!$A$7:$S$19,MATCH(AE$37,Output!$A$7:$A$19,0),MATCH(AE53,Output!$A$7:$S$7,0))*100</f>
        <v>193.10126436075464</v>
      </c>
      <c r="AH53" s="95">
        <f t="shared" si="12"/>
        <v>7</v>
      </c>
      <c r="AI53" s="95" t="s">
        <v>33</v>
      </c>
      <c r="AJ53" s="140">
        <f>INDEX(Output!$A$7:$S$19,MATCH(AI$37,Output!$A$7:$A$19,0),MATCH($U53,Output!$A$7:$S$7,0))*100</f>
        <v>-23.194332580620557</v>
      </c>
      <c r="AK53" s="95">
        <v>16</v>
      </c>
      <c r="AL53" s="95" t="str">
        <f t="shared" si="13"/>
        <v>Centralines</v>
      </c>
      <c r="AM53" s="140">
        <f>INDEX(Output!$A$7:$S$19,MATCH(AL$37,Output!$A$7:$A$19,0),MATCH(AL53,Output!$A$7:$S$7,0))*100</f>
        <v>11.185493575516524</v>
      </c>
    </row>
    <row r="54" spans="1:39" x14ac:dyDescent="0.2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121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:39" x14ac:dyDescent="0.25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</row>
    <row r="56" spans="1:39" ht="39" x14ac:dyDescent="0.25">
      <c r="A56" s="68"/>
      <c r="B56" s="111"/>
      <c r="C56" s="111" t="s">
        <v>134</v>
      </c>
      <c r="D56" s="111"/>
      <c r="E56" s="67"/>
      <c r="F56" s="111"/>
      <c r="G56" s="111"/>
      <c r="H56" s="111"/>
      <c r="I56" s="111"/>
      <c r="J56" s="111"/>
      <c r="K56" s="111"/>
      <c r="L56" s="111" t="s">
        <v>153</v>
      </c>
      <c r="M56" s="111"/>
      <c r="N56" s="111"/>
      <c r="O56" s="111"/>
      <c r="P56" s="111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39" x14ac:dyDescent="0.25">
      <c r="A57" s="68"/>
      <c r="B57" s="68"/>
      <c r="C57" s="95" t="s">
        <v>139</v>
      </c>
      <c r="D57" s="140">
        <f>INDEX(Output!$A$20:$AH$29,MATCH(C$56,Output!$A$20:$A$29,0),MATCH($C57,Output!$A$20:$AH$20,0))*100</f>
        <v>14.337012444328433</v>
      </c>
      <c r="E57" s="68"/>
      <c r="F57" s="68"/>
      <c r="G57" s="68"/>
      <c r="H57" s="68"/>
      <c r="I57" s="68"/>
      <c r="J57" s="112"/>
      <c r="K57" s="68"/>
      <c r="L57" s="95" t="s">
        <v>139</v>
      </c>
      <c r="M57" s="140">
        <f>INDEX(Output!$A$20:$AH$29,MATCH(L$56,Output!$A$20:$A$29,0),MATCH($C57,Output!$A$20:$AH$20,0))*100</f>
        <v>23.947097190756384</v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112"/>
    </row>
    <row r="58" spans="1:39" x14ac:dyDescent="0.25">
      <c r="A58" s="68"/>
      <c r="B58" s="68"/>
      <c r="C58" s="95" t="s">
        <v>162</v>
      </c>
      <c r="D58" s="140">
        <f>INDEX(Output!$A$20:$AH$29,MATCH(C$56,Output!$A$20:$A$29,0),MATCH($C58,Output!$A$20:$AH$20,0))*100</f>
        <v>5.6387807535308809</v>
      </c>
      <c r="E58" s="68"/>
      <c r="F58" s="68"/>
      <c r="G58" s="68"/>
      <c r="H58" s="68"/>
      <c r="I58" s="68"/>
      <c r="J58" s="68"/>
      <c r="K58" s="68"/>
      <c r="L58" s="95" t="s">
        <v>162</v>
      </c>
      <c r="M58" s="140">
        <f>INDEX(Output!$A$20:$AH$29,MATCH(L$56,Output!$A$20:$A$29,0),MATCH($C58,Output!$A$20:$AH$20,0))*100</f>
        <v>35.977458095447389</v>
      </c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112"/>
    </row>
    <row r="59" spans="1:39" x14ac:dyDescent="0.25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121"/>
      <c r="U59" s="121"/>
      <c r="V59" s="121"/>
      <c r="W59" s="121"/>
      <c r="X59" s="121"/>
      <c r="Y59" s="68"/>
      <c r="Z59" s="68"/>
    </row>
  </sheetData>
  <pageMargins left="0.70866141732283472" right="0.70866141732283472" top="0.74803149606299213" bottom="0.74803149606299213" header="0.31496062992125984" footer="0.31496062992125984"/>
  <pageSetup paperSize="9" scale="32" fitToHeight="0" orientation="landscape" r:id="rId1"/>
  <headerFooter>
    <oddFooter>&amp;L&amp;F&amp;C&amp;A&amp;R&amp;P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fitToPage="1"/>
  </sheetPr>
  <dimension ref="A1:F88"/>
  <sheetViews>
    <sheetView showGridLines="0" view="pageBreakPreview" zoomScaleNormal="90" zoomScaleSheetLayoutView="100" workbookViewId="0"/>
  </sheetViews>
  <sheetFormatPr defaultRowHeight="15" x14ac:dyDescent="0.25"/>
  <cols>
    <col min="1" max="1" width="9.140625" style="1"/>
    <col min="2" max="7" width="65" style="1" customWidth="1"/>
    <col min="8" max="16384" width="9.140625" style="1"/>
  </cols>
  <sheetData>
    <row r="1" spans="1:5" ht="26.25" x14ac:dyDescent="0.25">
      <c r="A1" s="50" t="s">
        <v>170</v>
      </c>
    </row>
    <row r="2" spans="1:5" ht="26.25" x14ac:dyDescent="0.25">
      <c r="A2" s="50"/>
    </row>
    <row r="3" spans="1:5" ht="21" x14ac:dyDescent="0.25">
      <c r="A3" s="124" t="s">
        <v>171</v>
      </c>
    </row>
    <row r="4" spans="1:5" ht="30" x14ac:dyDescent="0.25">
      <c r="B4" s="125" t="s">
        <v>174</v>
      </c>
      <c r="C4" s="125" t="s">
        <v>175</v>
      </c>
      <c r="D4" s="125" t="s">
        <v>176</v>
      </c>
      <c r="E4" s="125" t="s">
        <v>177</v>
      </c>
    </row>
    <row r="27" spans="1:5" ht="21" x14ac:dyDescent="0.25">
      <c r="A27" s="124" t="s">
        <v>211</v>
      </c>
    </row>
    <row r="28" spans="1:5" ht="30" x14ac:dyDescent="0.25">
      <c r="B28" s="125" t="s">
        <v>174</v>
      </c>
      <c r="C28" s="125" t="s">
        <v>175</v>
      </c>
      <c r="D28" s="125"/>
      <c r="E28" s="125" t="s">
        <v>194</v>
      </c>
    </row>
    <row r="48" spans="1:1" ht="21" x14ac:dyDescent="0.25">
      <c r="A48" s="124" t="s">
        <v>173</v>
      </c>
    </row>
    <row r="49" spans="2:6" ht="30" x14ac:dyDescent="0.25">
      <c r="B49" s="125" t="s">
        <v>174</v>
      </c>
      <c r="D49" s="125" t="s">
        <v>175</v>
      </c>
      <c r="F49" s="125"/>
    </row>
    <row r="88" spans="2:2" x14ac:dyDescent="0.25">
      <c r="B88"/>
    </row>
  </sheetData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Footer>&amp;L&amp;F&amp;C&amp;A&amp;R&amp;P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CoverSheet</vt:lpstr>
      <vt:lpstr>Description</vt:lpstr>
      <vt:lpstr>Table of Contents</vt:lpstr>
      <vt:lpstr>Inflators</vt:lpstr>
      <vt:lpstr>Inputs</vt:lpstr>
      <vt:lpstr>EDB Select</vt:lpstr>
      <vt:lpstr>Calculations</vt:lpstr>
      <vt:lpstr>Output</vt:lpstr>
      <vt:lpstr>Tables</vt:lpstr>
      <vt:lpstr>Chart data</vt:lpstr>
      <vt:lpstr>Charts</vt:lpstr>
      <vt:lpstr>Calculations!Print_Area</vt:lpstr>
      <vt:lpstr>'Chart data'!Print_Area</vt:lpstr>
      <vt:lpstr>Charts!Print_Area</vt:lpstr>
      <vt:lpstr>CoverSheet!Print_Area</vt:lpstr>
      <vt:lpstr>Description!Print_Area</vt:lpstr>
      <vt:lpstr>'EDB Select'!Print_Area</vt:lpstr>
      <vt:lpstr>Inflators!Print_Area</vt:lpstr>
      <vt:lpstr>Inputs!Print_Area</vt:lpstr>
      <vt:lpstr>Output!Print_Area</vt:lpstr>
      <vt:lpstr>'Table of Contents'!Print_Area</vt:lpstr>
      <vt:lpstr>Tables!Print_Area</vt:lpstr>
      <vt:lpstr>WACC</vt:lpstr>
    </vt:vector>
  </TitlesOfParts>
  <Company>Commerce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Gordon</dc:creator>
  <cp:lastModifiedBy>hazelb</cp:lastModifiedBy>
  <cp:lastPrinted>2016-06-08T01:13:56Z</cp:lastPrinted>
  <dcterms:created xsi:type="dcterms:W3CDTF">2012-07-04T01:49:43Z</dcterms:created>
  <dcterms:modified xsi:type="dcterms:W3CDTF">2016-06-08T04:01:08Z</dcterms:modified>
</cp:coreProperties>
</file>