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1820"/>
  </bookViews>
  <sheets>
    <sheet name="Instructions" sheetId="8" r:id="rId1"/>
    <sheet name="Tax calcs" sheetId="4" r:id="rId2"/>
    <sheet name="Comparison of cashflows" sheetId="11" r:id="rId3"/>
    <sheet name="Cost allocation adjustment" sheetId="1" r:id="rId4"/>
    <sheet name="Amortisation of sold asset" sheetId="5" r:id="rId5"/>
    <sheet name="DTB of sold asset" sheetId="7" r:id="rId6"/>
  </sheets>
  <definedNames>
    <definedName name="CPI" localSheetId="5">'Cost allocation adjustment'!#REF!</definedName>
    <definedName name="CPI">'Cost allocation adjustment'!#REF!</definedName>
    <definedName name="debt">'Tax calcs'!$F$4</definedName>
    <definedName name="DV">'Tax calcs'!$P$5</definedName>
    <definedName name="leverage">'Tax calcs'!$F$3</definedName>
    <definedName name="life">'Tax calcs'!$F$6</definedName>
    <definedName name="LifeN" localSheetId="5">'Cost allocation adjustment'!#REF!</definedName>
    <definedName name="LifeN">'Cost allocation adjustment'!#REF!</definedName>
    <definedName name="Opex">'Tax calcs'!$P$6</definedName>
    <definedName name="_xlnm.Print_Area" localSheetId="4">'Amortisation of sold asset'!$A$1:$I$30</definedName>
    <definedName name="_xlnm.Print_Area" localSheetId="2">'Comparison of cashflows'!$A$1:$R$32</definedName>
    <definedName name="_xlnm.Print_Area" localSheetId="3">'Cost allocation adjustment'!$B$1:$R$39</definedName>
    <definedName name="_xlnm.Print_Area" localSheetId="5">'DTB of sold asset'!$A$1:$H$18</definedName>
    <definedName name="_xlnm.Print_Area" localSheetId="1">'Tax calcs'!$B$2:$Y$63</definedName>
    <definedName name="reval">'Tax calcs'!$F$5</definedName>
    <definedName name="Tax">'Tax calcs'!$P$3</definedName>
    <definedName name="WACC">'Tax calcs'!$F$2</definedName>
  </definedNames>
  <calcPr calcId="145621"/>
</workbook>
</file>

<file path=xl/calcChain.xml><?xml version="1.0" encoding="utf-8"?>
<calcChain xmlns="http://schemas.openxmlformats.org/spreadsheetml/2006/main">
  <c r="F34" i="4" l="1"/>
  <c r="G34" i="4" s="1"/>
  <c r="H34" i="4" s="1"/>
  <c r="I34" i="4" s="1"/>
  <c r="J34" i="4" s="1"/>
  <c r="K34" i="4" s="1"/>
  <c r="L34" i="4" s="1"/>
  <c r="M34" i="4" s="1"/>
  <c r="N34" i="4" s="1"/>
  <c r="O34" i="4" s="1"/>
  <c r="P34" i="4" s="1"/>
  <c r="Q34" i="4" s="1"/>
  <c r="R34" i="4" s="1"/>
  <c r="S34" i="4" s="1"/>
  <c r="T34" i="4" s="1"/>
  <c r="U34" i="4" s="1"/>
  <c r="V34" i="4" s="1"/>
  <c r="W34" i="4" s="1"/>
  <c r="X34" i="4" s="1"/>
  <c r="Y34" i="4" s="1"/>
  <c r="G36" i="4" l="1"/>
  <c r="G58" i="4" s="1"/>
  <c r="G76" i="4" s="1"/>
  <c r="F36" i="4"/>
  <c r="F58" i="4" s="1"/>
  <c r="C4" i="7"/>
  <c r="F76" i="4" l="1"/>
  <c r="H36" i="4"/>
  <c r="H58" i="4" s="1"/>
  <c r="H76" i="4" s="1"/>
  <c r="K4" i="4"/>
  <c r="B2" i="1" s="1"/>
  <c r="I36" i="4" l="1"/>
  <c r="I58" i="4" s="1"/>
  <c r="I76" i="4" s="1"/>
  <c r="B14" i="1"/>
  <c r="Y31" i="4"/>
  <c r="J36" i="4" l="1"/>
  <c r="J58" i="4" s="1"/>
  <c r="J76" i="4" s="1"/>
  <c r="F10" i="4"/>
  <c r="F78" i="4" s="1"/>
  <c r="F81" i="4" s="1"/>
  <c r="K36" i="4" l="1"/>
  <c r="K58" i="4" s="1"/>
  <c r="K76" i="4" s="1"/>
  <c r="D3" i="5"/>
  <c r="G3" i="5" s="1"/>
  <c r="F4" i="7" s="1"/>
  <c r="F31" i="4"/>
  <c r="F49" i="4"/>
  <c r="F48" i="4"/>
  <c r="L36" i="4" l="1"/>
  <c r="L58" i="4" s="1"/>
  <c r="L76" i="4" s="1"/>
  <c r="F39" i="4"/>
  <c r="F79" i="4" s="1"/>
  <c r="F83" i="4" s="1"/>
  <c r="F50" i="4"/>
  <c r="H17" i="1"/>
  <c r="M36" i="4" l="1"/>
  <c r="M58" i="4" s="1"/>
  <c r="M76" i="4" s="1"/>
  <c r="F33" i="4"/>
  <c r="F51" i="4"/>
  <c r="F43" i="4"/>
  <c r="F59" i="4" s="1"/>
  <c r="F84" i="4" s="1"/>
  <c r="N36" i="4" l="1"/>
  <c r="N58" i="4" s="1"/>
  <c r="N76" i="4" s="1"/>
  <c r="G3" i="1"/>
  <c r="H3" i="1" s="1"/>
  <c r="K6" i="4"/>
  <c r="E3" i="1"/>
  <c r="D3" i="1"/>
  <c r="F11" i="4"/>
  <c r="O36" i="4" l="1"/>
  <c r="O58" i="4" s="1"/>
  <c r="O76" i="4" s="1"/>
  <c r="E3" i="5"/>
  <c r="F3" i="5" s="1"/>
  <c r="D13" i="5" s="1"/>
  <c r="D4" i="7"/>
  <c r="G4" i="7" s="1"/>
  <c r="H3" i="5"/>
  <c r="I3" i="5" s="1"/>
  <c r="G13" i="5" s="1"/>
  <c r="P5" i="4"/>
  <c r="F41" i="4"/>
  <c r="F12" i="4"/>
  <c r="D5" i="1"/>
  <c r="P2" i="4"/>
  <c r="K5" i="1" s="1"/>
  <c r="O28" i="1" s="1"/>
  <c r="O27" i="1"/>
  <c r="E16" i="7" s="1"/>
  <c r="G18" i="5" l="1"/>
  <c r="F27" i="4"/>
  <c r="P36" i="4"/>
  <c r="P58" i="4" s="1"/>
  <c r="P76" i="4" s="1"/>
  <c r="G25" i="5"/>
  <c r="G24" i="5"/>
  <c r="G23" i="5"/>
  <c r="G22" i="5"/>
  <c r="G26" i="5"/>
  <c r="D22" i="5"/>
  <c r="D26" i="5"/>
  <c r="D25" i="5"/>
  <c r="D24" i="5"/>
  <c r="D23" i="5"/>
  <c r="D6" i="5"/>
  <c r="D8" i="5"/>
  <c r="D10" i="5"/>
  <c r="D12" i="5"/>
  <c r="D4" i="5"/>
  <c r="D5" i="5"/>
  <c r="D7" i="5"/>
  <c r="D9" i="5"/>
  <c r="D11" i="5"/>
  <c r="D18" i="5"/>
  <c r="D21" i="5"/>
  <c r="D20" i="5"/>
  <c r="D19" i="5"/>
  <c r="D17" i="5"/>
  <c r="G21" i="5"/>
  <c r="G6" i="5"/>
  <c r="G4" i="5"/>
  <c r="G7" i="5"/>
  <c r="G19" i="5"/>
  <c r="G17" i="5"/>
  <c r="G8" i="5"/>
  <c r="G12" i="5"/>
  <c r="G5" i="5"/>
  <c r="G9" i="5"/>
  <c r="G10" i="5"/>
  <c r="G20" i="5"/>
  <c r="G11" i="5"/>
  <c r="F15" i="4"/>
  <c r="F26" i="4" s="1"/>
  <c r="G4" i="1"/>
  <c r="G6" i="1" s="1"/>
  <c r="G16" i="1" s="1"/>
  <c r="O3" i="1"/>
  <c r="F19" i="4"/>
  <c r="D4" i="1"/>
  <c r="D6" i="1" s="1"/>
  <c r="E7" i="1" s="1"/>
  <c r="F29" i="4" l="1"/>
  <c r="F62" i="4" s="1"/>
  <c r="G27" i="5"/>
  <c r="H7" i="1"/>
  <c r="Q36" i="4"/>
  <c r="Q58" i="4" s="1"/>
  <c r="Q76" i="4" s="1"/>
  <c r="G41" i="4"/>
  <c r="G14" i="5"/>
  <c r="F15" i="5" s="1"/>
  <c r="G16" i="5" s="1"/>
  <c r="D14" i="5"/>
  <c r="D27" i="5" s="1"/>
  <c r="F57" i="4"/>
  <c r="F82" i="4" s="1"/>
  <c r="G27" i="4" l="1"/>
  <c r="R36" i="4"/>
  <c r="R58" i="4" s="1"/>
  <c r="R76" i="4" s="1"/>
  <c r="G19" i="4"/>
  <c r="H41" i="4" s="1"/>
  <c r="D28" i="5"/>
  <c r="D29" i="5" s="1"/>
  <c r="F16" i="5"/>
  <c r="H27" i="4" l="1"/>
  <c r="S36" i="4"/>
  <c r="S58" i="4" s="1"/>
  <c r="S76" i="4" s="1"/>
  <c r="H19" i="4"/>
  <c r="I41" i="4" s="1"/>
  <c r="I27" i="4" s="1"/>
  <c r="T36" i="4" l="1"/>
  <c r="T58" i="4" s="1"/>
  <c r="T76" i="4" s="1"/>
  <c r="I19" i="4"/>
  <c r="J41" i="4" s="1"/>
  <c r="J27" i="4" s="1"/>
  <c r="H4" i="1"/>
  <c r="E5" i="1"/>
  <c r="E4" i="1"/>
  <c r="F4" i="1" s="1"/>
  <c r="U36" i="4" l="1"/>
  <c r="U58" i="4" s="1"/>
  <c r="U76" i="4" s="1"/>
  <c r="O36" i="1"/>
  <c r="K4" i="1"/>
  <c r="O4" i="1" s="1"/>
  <c r="E6" i="1"/>
  <c r="H6" i="1"/>
  <c r="J19" i="4"/>
  <c r="K41" i="4" s="1"/>
  <c r="K27" i="4" s="1"/>
  <c r="G15" i="1"/>
  <c r="G18" i="1" s="1"/>
  <c r="H15" i="1"/>
  <c r="D15" i="1"/>
  <c r="D16" i="1" s="1"/>
  <c r="V36" i="4" l="1"/>
  <c r="V58" i="4" s="1"/>
  <c r="V76" i="4" s="1"/>
  <c r="H16" i="1"/>
  <c r="E8" i="1"/>
  <c r="F13" i="4" s="1"/>
  <c r="D17" i="1"/>
  <c r="K17" i="1"/>
  <c r="O29" i="1" s="1"/>
  <c r="O30" i="1" s="1"/>
  <c r="K19" i="4"/>
  <c r="L41" i="4" s="1"/>
  <c r="L27" i="4" s="1"/>
  <c r="H8" i="1"/>
  <c r="E15" i="1"/>
  <c r="W36" i="4" l="1"/>
  <c r="W58" i="4" s="1"/>
  <c r="W76" i="4" s="1"/>
  <c r="E17" i="1"/>
  <c r="E16" i="1"/>
  <c r="F16" i="1" s="1"/>
  <c r="E10" i="1"/>
  <c r="E11" i="1" s="1"/>
  <c r="F14" i="4"/>
  <c r="F18" i="4"/>
  <c r="G11" i="4" s="1"/>
  <c r="D18" i="1"/>
  <c r="E19" i="1" s="1"/>
  <c r="H19" i="1" s="1"/>
  <c r="F16" i="4"/>
  <c r="F28" i="4" s="1"/>
  <c r="Y36" i="4" l="1"/>
  <c r="Y58" i="4" s="1"/>
  <c r="Y76" i="4" s="1"/>
  <c r="X36" i="4"/>
  <c r="X58" i="4" s="1"/>
  <c r="X76" i="4" s="1"/>
  <c r="O35" i="1"/>
  <c r="G31" i="4"/>
  <c r="G10" i="4"/>
  <c r="G78" i="4" s="1"/>
  <c r="G81" i="4" s="1"/>
  <c r="G48" i="4"/>
  <c r="G12" i="4"/>
  <c r="K16" i="1"/>
  <c r="O16" i="1" s="1"/>
  <c r="E18" i="1"/>
  <c r="E20" i="1" s="1"/>
  <c r="O15" i="1"/>
  <c r="H18" i="1"/>
  <c r="F17" i="4"/>
  <c r="G15" i="4" s="1"/>
  <c r="L19" i="4"/>
  <c r="M41" i="4" s="1"/>
  <c r="M27" i="4" s="1"/>
  <c r="O11" i="1"/>
  <c r="K11" i="1"/>
  <c r="K12" i="1" s="1"/>
  <c r="K15" i="1" s="1"/>
  <c r="O12" i="1"/>
  <c r="G13" i="4"/>
  <c r="H20" i="1" l="1"/>
  <c r="O34" i="1" s="1"/>
  <c r="O37" i="1" s="1"/>
  <c r="G57" i="4"/>
  <c r="G26" i="4"/>
  <c r="G18" i="4"/>
  <c r="H11" i="4" s="1"/>
  <c r="G82" i="4" l="1"/>
  <c r="E22" i="1"/>
  <c r="E23" i="1" s="1"/>
  <c r="K23" i="1" s="1"/>
  <c r="K24" i="1" s="1"/>
  <c r="O31" i="1" s="1"/>
  <c r="O32" i="1" s="1"/>
  <c r="G41" i="1" s="1"/>
  <c r="G16" i="4"/>
  <c r="H12" i="4"/>
  <c r="M19" i="4"/>
  <c r="N41" i="4" s="1"/>
  <c r="N27" i="4" s="1"/>
  <c r="G17" i="4" l="1"/>
  <c r="H15" i="4" s="1"/>
  <c r="H57" i="4" s="1"/>
  <c r="G28" i="4"/>
  <c r="H18" i="4"/>
  <c r="I11" i="4" s="1"/>
  <c r="O23" i="1"/>
  <c r="O24" i="1" s="1"/>
  <c r="N19" i="4"/>
  <c r="O41" i="4" s="1"/>
  <c r="E8" i="7" s="1"/>
  <c r="E9" i="7" l="1"/>
  <c r="G29" i="4"/>
  <c r="G62" i="4" s="1"/>
  <c r="H82" i="4"/>
  <c r="O27" i="4"/>
  <c r="E17" i="7"/>
  <c r="H17" i="4"/>
  <c r="I15" i="4" s="1"/>
  <c r="I57" i="4" s="1"/>
  <c r="H26" i="4"/>
  <c r="O19" i="4"/>
  <c r="P41" i="4" s="1"/>
  <c r="P27" i="4" s="1"/>
  <c r="H29" i="4" l="1"/>
  <c r="H62" i="4" s="1"/>
  <c r="I82" i="4"/>
  <c r="I17" i="4"/>
  <c r="J15" i="4" s="1"/>
  <c r="J57" i="4" s="1"/>
  <c r="I12" i="4"/>
  <c r="I26" i="4"/>
  <c r="I18" i="4"/>
  <c r="J11" i="4" s="1"/>
  <c r="P19" i="4"/>
  <c r="Q41" i="4" s="1"/>
  <c r="Q27" i="4" s="1"/>
  <c r="I29" i="4" l="1"/>
  <c r="I62" i="4" s="1"/>
  <c r="J82" i="4"/>
  <c r="J17" i="4"/>
  <c r="K15" i="4" s="1"/>
  <c r="J26" i="4"/>
  <c r="Q19" i="4"/>
  <c r="R41" i="4" s="1"/>
  <c r="R27" i="4" s="1"/>
  <c r="J29" i="4" l="1"/>
  <c r="J62" i="4" s="1"/>
  <c r="J12" i="4"/>
  <c r="J18" i="4"/>
  <c r="K11" i="4" s="1"/>
  <c r="K57" i="4"/>
  <c r="K17" i="4"/>
  <c r="L15" i="4" s="1"/>
  <c r="K82" i="4" l="1"/>
  <c r="K18" i="4"/>
  <c r="L11" i="4" s="1"/>
  <c r="L17" i="4"/>
  <c r="M15" i="4" s="1"/>
  <c r="L57" i="4"/>
  <c r="R19" i="4"/>
  <c r="S41" i="4" s="1"/>
  <c r="S27" i="4" s="1"/>
  <c r="L82" i="4" l="1"/>
  <c r="L26" i="4"/>
  <c r="K26" i="4"/>
  <c r="K29" i="4" s="1"/>
  <c r="K62" i="4" s="1"/>
  <c r="K12" i="4"/>
  <c r="L29" i="4" l="1"/>
  <c r="L62" i="4" s="1"/>
  <c r="L12" i="4"/>
  <c r="L18" i="4"/>
  <c r="M11" i="4" s="1"/>
  <c r="M57" i="4"/>
  <c r="M17" i="4"/>
  <c r="N15" i="4" s="1"/>
  <c r="S19" i="4"/>
  <c r="T41" i="4" s="1"/>
  <c r="T27" i="4" s="1"/>
  <c r="M82" i="4" l="1"/>
  <c r="M26" i="4"/>
  <c r="M29" i="4" s="1"/>
  <c r="M62" i="4" s="1"/>
  <c r="T19" i="4"/>
  <c r="U41" i="4" s="1"/>
  <c r="U27" i="4" s="1"/>
  <c r="M18" i="4" l="1"/>
  <c r="M12" i="4"/>
  <c r="N57" i="4"/>
  <c r="N17" i="4"/>
  <c r="U19" i="4"/>
  <c r="V41" i="4" s="1"/>
  <c r="V27" i="4" s="1"/>
  <c r="N82" i="4" l="1"/>
  <c r="O15" i="4"/>
  <c r="N11" i="4"/>
  <c r="N18" i="4" s="1"/>
  <c r="O11" i="4" s="1"/>
  <c r="V19" i="4"/>
  <c r="W41" i="4" s="1"/>
  <c r="W27" i="4" s="1"/>
  <c r="N26" i="4" l="1"/>
  <c r="N12" i="4"/>
  <c r="O12" i="4" s="1"/>
  <c r="O18" i="4"/>
  <c r="P11" i="4" s="1"/>
  <c r="O57" i="4"/>
  <c r="O26" i="4"/>
  <c r="O17" i="4"/>
  <c r="W19" i="4"/>
  <c r="X41" i="4" s="1"/>
  <c r="X27" i="4" s="1"/>
  <c r="N29" i="4" l="1"/>
  <c r="N62" i="4" s="1"/>
  <c r="O82" i="4"/>
  <c r="P15" i="4"/>
  <c r="D5" i="7"/>
  <c r="E7" i="7"/>
  <c r="P18" i="4"/>
  <c r="Q11" i="4" s="1"/>
  <c r="P12" i="4"/>
  <c r="X19" i="4"/>
  <c r="Y41" i="4" s="1"/>
  <c r="Y27" i="4" s="1"/>
  <c r="O29" i="4" l="1"/>
  <c r="O62" i="4" s="1"/>
  <c r="Q18" i="4"/>
  <c r="R11" i="4" s="1"/>
  <c r="R18" i="4" s="1"/>
  <c r="S11" i="4" s="1"/>
  <c r="Q12" i="4"/>
  <c r="P57" i="4"/>
  <c r="P26" i="4"/>
  <c r="P17" i="4"/>
  <c r="Q15" i="4" s="1"/>
  <c r="P29" i="4" l="1"/>
  <c r="P62" i="4" s="1"/>
  <c r="P82" i="4"/>
  <c r="R12" i="4"/>
  <c r="S18" i="4"/>
  <c r="T11" i="4" s="1"/>
  <c r="Y19" i="4"/>
  <c r="S12" i="4" l="1"/>
  <c r="Q57" i="4"/>
  <c r="Q26" i="4"/>
  <c r="Q29" i="4" s="1"/>
  <c r="Q62" i="4" s="1"/>
  <c r="Q17" i="4"/>
  <c r="R15" i="4" s="1"/>
  <c r="Q82" i="4" l="1"/>
  <c r="T12" i="4"/>
  <c r="T18" i="4"/>
  <c r="U11" i="4" s="1"/>
  <c r="U12" i="4" l="1"/>
  <c r="R57" i="4"/>
  <c r="R26" i="4"/>
  <c r="R17" i="4"/>
  <c r="S15" i="4" s="1"/>
  <c r="R29" i="4" l="1"/>
  <c r="R62" i="4" s="1"/>
  <c r="R82" i="4"/>
  <c r="U18" i="4"/>
  <c r="V11" i="4" s="1"/>
  <c r="V12" i="4" l="1"/>
  <c r="S57" i="4"/>
  <c r="S26" i="4"/>
  <c r="S29" i="4" s="1"/>
  <c r="S62" i="4" s="1"/>
  <c r="S17" i="4"/>
  <c r="T15" i="4" s="1"/>
  <c r="S82" i="4" l="1"/>
  <c r="V18" i="4"/>
  <c r="W11" i="4" s="1"/>
  <c r="T57" i="4"/>
  <c r="T26" i="4"/>
  <c r="T17" i="4"/>
  <c r="U15" i="4" s="1"/>
  <c r="T29" i="4" l="1"/>
  <c r="T62" i="4" s="1"/>
  <c r="T82" i="4"/>
  <c r="W12" i="4"/>
  <c r="W18" i="4" l="1"/>
  <c r="X11" i="4" s="1"/>
  <c r="U57" i="4"/>
  <c r="U26" i="4"/>
  <c r="U29" i="4" s="1"/>
  <c r="U62" i="4" s="1"/>
  <c r="U17" i="4"/>
  <c r="V15" i="4" s="1"/>
  <c r="U82" i="4" l="1"/>
  <c r="X12" i="4"/>
  <c r="X18" i="4" l="1"/>
  <c r="Y11" i="4" s="1"/>
  <c r="V57" i="4"/>
  <c r="V26" i="4"/>
  <c r="V17" i="4"/>
  <c r="W15" i="4" s="1"/>
  <c r="V29" i="4" l="1"/>
  <c r="V62" i="4" s="1"/>
  <c r="V82" i="4"/>
  <c r="Y12" i="4"/>
  <c r="Y18" i="4"/>
  <c r="W57" i="4"/>
  <c r="W26" i="4"/>
  <c r="W17" i="4"/>
  <c r="X15" i="4" s="1"/>
  <c r="W29" i="4" l="1"/>
  <c r="W62" i="4" s="1"/>
  <c r="W82" i="4"/>
  <c r="X57" i="4"/>
  <c r="X26" i="4"/>
  <c r="X17" i="4"/>
  <c r="Y15" i="4" s="1"/>
  <c r="X29" i="4" l="1"/>
  <c r="X62" i="4" s="1"/>
  <c r="X82" i="4"/>
  <c r="Y57" i="4"/>
  <c r="Y26" i="4"/>
  <c r="Y17" i="4"/>
  <c r="F38" i="4"/>
  <c r="F21" i="4"/>
  <c r="Y29" i="4" l="1"/>
  <c r="Y62" i="4" s="1"/>
  <c r="F75" i="4"/>
  <c r="F77" i="4" s="1"/>
  <c r="F80" i="4" s="1"/>
  <c r="F85" i="4" s="1"/>
  <c r="F86" i="4" s="1"/>
  <c r="F88" i="4" s="1"/>
  <c r="Y82" i="4"/>
  <c r="F22" i="4"/>
  <c r="F42" i="4"/>
  <c r="F23" i="4"/>
  <c r="G39" i="4"/>
  <c r="G79" i="4" s="1"/>
  <c r="G83" i="4" s="1"/>
  <c r="F32" i="4"/>
  <c r="G32" i="4" s="1"/>
  <c r="F35" i="4" l="1"/>
  <c r="F37" i="4" s="1"/>
  <c r="F40" i="4" s="1"/>
  <c r="F44" i="4" s="1"/>
  <c r="G38" i="4"/>
  <c r="G21" i="4"/>
  <c r="G14" i="4"/>
  <c r="H31" i="4" s="1"/>
  <c r="G49" i="4" l="1"/>
  <c r="G50" i="4" s="1"/>
  <c r="G33" i="4" s="1"/>
  <c r="G25" i="4"/>
  <c r="F45" i="4"/>
  <c r="F46" i="4" s="1"/>
  <c r="H32" i="4"/>
  <c r="G42" i="4"/>
  <c r="G22" i="4"/>
  <c r="H10" i="4"/>
  <c r="H78" i="4" s="1"/>
  <c r="H81" i="4" s="1"/>
  <c r="H48" i="4"/>
  <c r="G23" i="4"/>
  <c r="G43" i="4" l="1"/>
  <c r="G59" i="4" s="1"/>
  <c r="G84" i="4" s="1"/>
  <c r="G51" i="4"/>
  <c r="H14" i="4"/>
  <c r="H21" i="4"/>
  <c r="H22" i="4" s="1"/>
  <c r="H38" i="4"/>
  <c r="H39" i="4"/>
  <c r="H79" i="4" s="1"/>
  <c r="H83" i="4" s="1"/>
  <c r="G35" i="4" l="1"/>
  <c r="G56" i="4" s="1"/>
  <c r="G60" i="4" s="1"/>
  <c r="G61" i="4" s="1"/>
  <c r="G75" i="4"/>
  <c r="G77" i="4" s="1"/>
  <c r="G80" i="4" s="1"/>
  <c r="G85" i="4" s="1"/>
  <c r="G86" i="4" s="1"/>
  <c r="G88" i="4" s="1"/>
  <c r="H49" i="4"/>
  <c r="H50" i="4" s="1"/>
  <c r="H51" i="4" s="1"/>
  <c r="H25" i="4"/>
  <c r="I31" i="4"/>
  <c r="I32" i="4" s="1"/>
  <c r="I10" i="4"/>
  <c r="I78" i="4" s="1"/>
  <c r="I81" i="4" s="1"/>
  <c r="H23" i="4"/>
  <c r="H42" i="4"/>
  <c r="I48" i="4"/>
  <c r="G37" i="4" l="1"/>
  <c r="G40" i="4" s="1"/>
  <c r="G44" i="4" s="1"/>
  <c r="G45" i="4" s="1"/>
  <c r="G46" i="4" s="1"/>
  <c r="H33" i="4"/>
  <c r="H43" i="4"/>
  <c r="H59" i="4" s="1"/>
  <c r="H84" i="4" s="1"/>
  <c r="I39" i="4"/>
  <c r="I79" i="4" s="1"/>
  <c r="I83" i="4" s="1"/>
  <c r="I14" i="4"/>
  <c r="J31" i="4" s="1"/>
  <c r="G69" i="4" l="1"/>
  <c r="H75" i="4"/>
  <c r="H77" i="4" s="1"/>
  <c r="H80" i="4" s="1"/>
  <c r="H85" i="4" s="1"/>
  <c r="H86" i="4" s="1"/>
  <c r="H88" i="4" s="1"/>
  <c r="H35" i="4"/>
  <c r="H37" i="4" s="1"/>
  <c r="H40" i="4" s="1"/>
  <c r="H44" i="4" s="1"/>
  <c r="I49" i="4"/>
  <c r="I50" i="4" s="1"/>
  <c r="I43" i="4" s="1"/>
  <c r="I59" i="4" s="1"/>
  <c r="I84" i="4" s="1"/>
  <c r="I25" i="4"/>
  <c r="J32" i="4"/>
  <c r="J10" i="4"/>
  <c r="J78" i="4" s="1"/>
  <c r="J81" i="4" s="1"/>
  <c r="J48" i="4"/>
  <c r="J39" i="4"/>
  <c r="J79" i="4" s="1"/>
  <c r="J83" i="4" s="1"/>
  <c r="I21" i="4"/>
  <c r="I22" i="4" s="1"/>
  <c r="I38" i="4"/>
  <c r="H56" i="4" l="1"/>
  <c r="H60" i="4" s="1"/>
  <c r="H61" i="4" s="1"/>
  <c r="H69" i="4" s="1"/>
  <c r="I33" i="4"/>
  <c r="I75" i="4" s="1"/>
  <c r="I77" i="4" s="1"/>
  <c r="I51" i="4"/>
  <c r="H45" i="4"/>
  <c r="H46" i="4" s="1"/>
  <c r="I23" i="4"/>
  <c r="I42" i="4"/>
  <c r="J14" i="4"/>
  <c r="K31" i="4" s="1"/>
  <c r="I35" i="4" l="1"/>
  <c r="I37" i="4" s="1"/>
  <c r="I80" i="4"/>
  <c r="I85" i="4" s="1"/>
  <c r="I86" i="4" s="1"/>
  <c r="I88" i="4" s="1"/>
  <c r="K32" i="4"/>
  <c r="K10" i="4"/>
  <c r="K78" i="4" s="1"/>
  <c r="K81" i="4" s="1"/>
  <c r="K48" i="4"/>
  <c r="K39" i="4"/>
  <c r="K79" i="4" s="1"/>
  <c r="K83" i="4" s="1"/>
  <c r="J21" i="4"/>
  <c r="J22" i="4" s="1"/>
  <c r="J38" i="4"/>
  <c r="J49" i="4" l="1"/>
  <c r="J50" i="4" s="1"/>
  <c r="J43" i="4" s="1"/>
  <c r="J59" i="4" s="1"/>
  <c r="J84" i="4" s="1"/>
  <c r="J25" i="4"/>
  <c r="I56" i="4"/>
  <c r="I60" i="4" s="1"/>
  <c r="I61" i="4" s="1"/>
  <c r="I69" i="4" s="1"/>
  <c r="I40" i="4"/>
  <c r="I44" i="4" s="1"/>
  <c r="K38" i="4"/>
  <c r="J23" i="4"/>
  <c r="J42" i="4"/>
  <c r="J51" i="4" l="1"/>
  <c r="J33" i="4"/>
  <c r="J35" i="4" s="1"/>
  <c r="J37" i="4" s="1"/>
  <c r="K49" i="4"/>
  <c r="K50" i="4" s="1"/>
  <c r="K51" i="4" s="1"/>
  <c r="K25" i="4"/>
  <c r="I45" i="4"/>
  <c r="I46" i="4" s="1"/>
  <c r="K14" i="4"/>
  <c r="L31" i="4" s="1"/>
  <c r="K21" i="4"/>
  <c r="J75" i="4" l="1"/>
  <c r="J77" i="4" s="1"/>
  <c r="J80" i="4" s="1"/>
  <c r="J85" i="4" s="1"/>
  <c r="J86" i="4" s="1"/>
  <c r="J88" i="4" s="1"/>
  <c r="K33" i="4"/>
  <c r="K43" i="4"/>
  <c r="K59" i="4" s="1"/>
  <c r="K84" i="4" s="1"/>
  <c r="J40" i="4"/>
  <c r="J44" i="4" s="1"/>
  <c r="L32" i="4"/>
  <c r="K23" i="4"/>
  <c r="K22" i="4"/>
  <c r="L10" i="4"/>
  <c r="K42" i="4"/>
  <c r="L48" i="4"/>
  <c r="J56" i="4"/>
  <c r="J60" i="4" s="1"/>
  <c r="J61" i="4" s="1"/>
  <c r="J69" i="4" s="1"/>
  <c r="K35" i="4" l="1"/>
  <c r="K37" i="4" s="1"/>
  <c r="L49" i="4"/>
  <c r="L50" i="4" s="1"/>
  <c r="L25" i="4"/>
  <c r="K75" i="4"/>
  <c r="K77" i="4" s="1"/>
  <c r="K80" i="4" s="1"/>
  <c r="K85" i="4" s="1"/>
  <c r="K86" i="4" s="1"/>
  <c r="K88" i="4" s="1"/>
  <c r="L14" i="4"/>
  <c r="M31" i="4" s="1"/>
  <c r="M32" i="4" s="1"/>
  <c r="L78" i="4"/>
  <c r="L81" i="4" s="1"/>
  <c r="J45" i="4"/>
  <c r="J46" i="4" s="1"/>
  <c r="L39" i="4"/>
  <c r="L79" i="4" s="1"/>
  <c r="L83" i="4" s="1"/>
  <c r="L21" i="4"/>
  <c r="L42" i="4" s="1"/>
  <c r="L38" i="4"/>
  <c r="M39" i="4" l="1"/>
  <c r="M79" i="4" s="1"/>
  <c r="M83" i="4" s="1"/>
  <c r="M48" i="4"/>
  <c r="M10" i="4"/>
  <c r="M78" i="4" s="1"/>
  <c r="M81" i="4" s="1"/>
  <c r="K56" i="4"/>
  <c r="K60" i="4" s="1"/>
  <c r="K61" i="4" s="1"/>
  <c r="K69" i="4" s="1"/>
  <c r="K40" i="4"/>
  <c r="K44" i="4" s="1"/>
  <c r="L51" i="4"/>
  <c r="L22" i="4"/>
  <c r="L43" i="4"/>
  <c r="L59" i="4" s="1"/>
  <c r="L84" i="4" s="1"/>
  <c r="L33" i="4"/>
  <c r="L23" i="4"/>
  <c r="M21" i="4"/>
  <c r="L35" i="4" l="1"/>
  <c r="L37" i="4" s="1"/>
  <c r="L75" i="4"/>
  <c r="L77" i="4" s="1"/>
  <c r="K45" i="4"/>
  <c r="K46" i="4" s="1"/>
  <c r="M22" i="4"/>
  <c r="M23" i="4"/>
  <c r="M42" i="4"/>
  <c r="M38" i="4"/>
  <c r="M14" i="4"/>
  <c r="N31" i="4" s="1"/>
  <c r="M25" i="4"/>
  <c r="L80" i="4" l="1"/>
  <c r="L85" i="4" s="1"/>
  <c r="L86" i="4" s="1"/>
  <c r="L88" i="4" s="1"/>
  <c r="L40" i="4"/>
  <c r="L44" i="4" s="1"/>
  <c r="N32" i="4"/>
  <c r="L56" i="4"/>
  <c r="L60" i="4" s="1"/>
  <c r="L61" i="4" s="1"/>
  <c r="L69" i="4" s="1"/>
  <c r="N10" i="4"/>
  <c r="N48" i="4"/>
  <c r="M49" i="4"/>
  <c r="M50" i="4" s="1"/>
  <c r="N49" i="4" l="1"/>
  <c r="N25" i="4"/>
  <c r="N38" i="4"/>
  <c r="N78" i="4"/>
  <c r="N81" i="4" s="1"/>
  <c r="L45" i="4"/>
  <c r="L46" i="4" s="1"/>
  <c r="M51" i="4"/>
  <c r="M33" i="4"/>
  <c r="M43" i="4"/>
  <c r="M59" i="4" s="1"/>
  <c r="M84" i="4" s="1"/>
  <c r="N39" i="4"/>
  <c r="N79" i="4" s="1"/>
  <c r="N83" i="4" s="1"/>
  <c r="N14" i="4"/>
  <c r="N50" i="4"/>
  <c r="N21" i="4"/>
  <c r="N22" i="4" s="1"/>
  <c r="M75" i="4" l="1"/>
  <c r="M77" i="4" s="1"/>
  <c r="M35" i="4"/>
  <c r="M37" i="4" s="1"/>
  <c r="N51" i="4"/>
  <c r="O31" i="4"/>
  <c r="O32" i="4" s="1"/>
  <c r="N43" i="4"/>
  <c r="N59" i="4" s="1"/>
  <c r="N84" i="4" s="1"/>
  <c r="N33" i="4"/>
  <c r="O10" i="4"/>
  <c r="O78" i="4" s="1"/>
  <c r="O81" i="4" s="1"/>
  <c r="N42" i="4"/>
  <c r="O48" i="4"/>
  <c r="N23" i="4"/>
  <c r="N35" i="4" l="1"/>
  <c r="N37" i="4" s="1"/>
  <c r="N75" i="4"/>
  <c r="N77" i="4" s="1"/>
  <c r="M80" i="4"/>
  <c r="M85" i="4" s="1"/>
  <c r="M86" i="4" s="1"/>
  <c r="M88" i="4" s="1"/>
  <c r="M40" i="4"/>
  <c r="M44" i="4" s="1"/>
  <c r="O39" i="4"/>
  <c r="O14" i="4"/>
  <c r="M56" i="4"/>
  <c r="M60" i="4" s="1"/>
  <c r="M61" i="4" s="1"/>
  <c r="M69" i="4" s="1"/>
  <c r="O38" i="4"/>
  <c r="O21" i="4"/>
  <c r="O22" i="4" s="1"/>
  <c r="O25" i="4"/>
  <c r="E14" i="7" l="1"/>
  <c r="O79" i="4"/>
  <c r="O83" i="4" s="1"/>
  <c r="N80" i="4"/>
  <c r="N85" i="4" s="1"/>
  <c r="N86" i="4" s="1"/>
  <c r="N88" i="4" s="1"/>
  <c r="M45" i="4"/>
  <c r="M46" i="4" s="1"/>
  <c r="P31" i="4"/>
  <c r="P32" i="4" s="1"/>
  <c r="C5" i="7"/>
  <c r="N40" i="4"/>
  <c r="N44" i="4" s="1"/>
  <c r="E10" i="7"/>
  <c r="N56" i="4"/>
  <c r="N60" i="4" s="1"/>
  <c r="N61" i="4" s="1"/>
  <c r="N69" i="4" s="1"/>
  <c r="P10" i="4"/>
  <c r="P48" i="4"/>
  <c r="O23" i="4"/>
  <c r="E15" i="7" s="1"/>
  <c r="O42" i="4"/>
  <c r="O49" i="4"/>
  <c r="O50" i="4" s="1"/>
  <c r="P25" i="4"/>
  <c r="P21" i="4" l="1"/>
  <c r="P22" i="4" s="1"/>
  <c r="P78" i="4"/>
  <c r="P81" i="4" s="1"/>
  <c r="N45" i="4"/>
  <c r="N46" i="4" s="1"/>
  <c r="P49" i="4"/>
  <c r="E5" i="7"/>
  <c r="P39" i="4"/>
  <c r="P79" i="4" s="1"/>
  <c r="P83" i="4" s="1"/>
  <c r="E12" i="7"/>
  <c r="E13" i="7" s="1"/>
  <c r="E18" i="7" s="1"/>
  <c r="F5" i="7"/>
  <c r="H7" i="7" s="1"/>
  <c r="O51" i="4"/>
  <c r="O33" i="4"/>
  <c r="O43" i="4"/>
  <c r="O59" i="4" s="1"/>
  <c r="O84" i="4" s="1"/>
  <c r="P50" i="4"/>
  <c r="P38" i="4"/>
  <c r="P14" i="4"/>
  <c r="Q31" i="4" s="1"/>
  <c r="O35" i="4" l="1"/>
  <c r="O37" i="4" s="1"/>
  <c r="P42" i="4"/>
  <c r="O75" i="4"/>
  <c r="O77" i="4" s="1"/>
  <c r="P23" i="4"/>
  <c r="H9" i="7"/>
  <c r="H17" i="7"/>
  <c r="H15" i="7"/>
  <c r="H16" i="7"/>
  <c r="H14" i="7"/>
  <c r="H8" i="7"/>
  <c r="G5" i="7"/>
  <c r="H12" i="7" s="1"/>
  <c r="H13" i="7" s="1"/>
  <c r="H5" i="7"/>
  <c r="P51" i="4"/>
  <c r="Q32" i="4"/>
  <c r="P43" i="4"/>
  <c r="P59" i="4" s="1"/>
  <c r="P84" i="4" s="1"/>
  <c r="P33" i="4"/>
  <c r="Q10" i="4"/>
  <c r="Q78" i="4" s="1"/>
  <c r="Q81" i="4" s="1"/>
  <c r="Q48" i="4"/>
  <c r="P35" i="4" l="1"/>
  <c r="Q49" i="4"/>
  <c r="Q50" i="4" s="1"/>
  <c r="Q25" i="4"/>
  <c r="P75" i="4"/>
  <c r="P77" i="4" s="1"/>
  <c r="O80" i="4"/>
  <c r="O85" i="4" s="1"/>
  <c r="O86" i="4" s="1"/>
  <c r="O88" i="4" s="1"/>
  <c r="H10" i="7"/>
  <c r="H18" i="7"/>
  <c r="O40" i="4"/>
  <c r="O44" i="4" s="1"/>
  <c r="P37" i="4"/>
  <c r="O56" i="4"/>
  <c r="O60" i="4" s="1"/>
  <c r="O61" i="4" s="1"/>
  <c r="O69" i="4" s="1"/>
  <c r="Q14" i="4"/>
  <c r="R31" i="4" s="1"/>
  <c r="Q39" i="4"/>
  <c r="Q79" i="4" s="1"/>
  <c r="Q83" i="4" s="1"/>
  <c r="Q21" i="4"/>
  <c r="P80" i="4" l="1"/>
  <c r="P85" i="4" s="1"/>
  <c r="P86" i="4" s="1"/>
  <c r="P88" i="4" s="1"/>
  <c r="O45" i="4"/>
  <c r="O46" i="4" s="1"/>
  <c r="P40" i="4"/>
  <c r="P44" i="4" s="1"/>
  <c r="Q51" i="4"/>
  <c r="R32" i="4"/>
  <c r="Q42" i="4"/>
  <c r="Q22" i="4"/>
  <c r="P56" i="4"/>
  <c r="P60" i="4" s="1"/>
  <c r="P61" i="4" s="1"/>
  <c r="P69" i="4" s="1"/>
  <c r="Q33" i="4"/>
  <c r="Q43" i="4"/>
  <c r="Q59" i="4" s="1"/>
  <c r="Q84" i="4" s="1"/>
  <c r="R10" i="4"/>
  <c r="R78" i="4" s="1"/>
  <c r="R81" i="4" s="1"/>
  <c r="R48" i="4"/>
  <c r="R39" i="4"/>
  <c r="R79" i="4" s="1"/>
  <c r="R83" i="4" s="1"/>
  <c r="Q38" i="4"/>
  <c r="Q23" i="4"/>
  <c r="Q35" i="4" l="1"/>
  <c r="Q37" i="4" s="1"/>
  <c r="Q75" i="4"/>
  <c r="Q77" i="4" s="1"/>
  <c r="P45" i="4"/>
  <c r="P46" i="4" s="1"/>
  <c r="R38" i="4"/>
  <c r="R14" i="4"/>
  <c r="S31" i="4" s="1"/>
  <c r="Q80" i="4" l="1"/>
  <c r="Q85" i="4" s="1"/>
  <c r="Q86" i="4" s="1"/>
  <c r="Q88" i="4" s="1"/>
  <c r="Q40" i="4"/>
  <c r="Q44" i="4" s="1"/>
  <c r="S32" i="4"/>
  <c r="S10" i="4"/>
  <c r="S78" i="4" s="1"/>
  <c r="S81" i="4" s="1"/>
  <c r="R21" i="4"/>
  <c r="S48" i="4"/>
  <c r="Q56" i="4"/>
  <c r="Q60" i="4" s="1"/>
  <c r="Q61" i="4" s="1"/>
  <c r="Q69" i="4" s="1"/>
  <c r="R49" i="4" l="1"/>
  <c r="R50" i="4" s="1"/>
  <c r="R51" i="4" s="1"/>
  <c r="R25" i="4"/>
  <c r="Q45" i="4"/>
  <c r="Q46" i="4" s="1"/>
  <c r="S39" i="4"/>
  <c r="S79" i="4" s="1"/>
  <c r="S83" i="4" s="1"/>
  <c r="R23" i="4"/>
  <c r="R22" i="4"/>
  <c r="R33" i="4"/>
  <c r="R42" i="4"/>
  <c r="S14" i="4"/>
  <c r="T31" i="4" s="1"/>
  <c r="S49" i="4" l="1"/>
  <c r="S50" i="4" s="1"/>
  <c r="S51" i="4" s="1"/>
  <c r="S25" i="4"/>
  <c r="R43" i="4"/>
  <c r="R59" i="4" s="1"/>
  <c r="R84" i="4" s="1"/>
  <c r="T32" i="4"/>
  <c r="T10" i="4"/>
  <c r="T78" i="4" s="1"/>
  <c r="T81" i="4" s="1"/>
  <c r="S21" i="4"/>
  <c r="T48" i="4"/>
  <c r="S38" i="4"/>
  <c r="S33" i="4" l="1"/>
  <c r="R35" i="4"/>
  <c r="R37" i="4" s="1"/>
  <c r="R40" i="4" s="1"/>
  <c r="R44" i="4" s="1"/>
  <c r="S43" i="4"/>
  <c r="S59" i="4" s="1"/>
  <c r="S84" i="4" s="1"/>
  <c r="R75" i="4"/>
  <c r="R77" i="4" s="1"/>
  <c r="R80" i="4" s="1"/>
  <c r="R85" i="4" s="1"/>
  <c r="R86" i="4" s="1"/>
  <c r="R88" i="4" s="1"/>
  <c r="T39" i="4"/>
  <c r="T79" i="4" s="1"/>
  <c r="T83" i="4" s="1"/>
  <c r="S42" i="4"/>
  <c r="S22" i="4"/>
  <c r="S23" i="4"/>
  <c r="T21" i="4"/>
  <c r="S75" i="4" l="1"/>
  <c r="S77" i="4" s="1"/>
  <c r="S80" i="4" s="1"/>
  <c r="S85" i="4" s="1"/>
  <c r="S86" i="4" s="1"/>
  <c r="S88" i="4" s="1"/>
  <c r="S35" i="4"/>
  <c r="S37" i="4" s="1"/>
  <c r="T49" i="4"/>
  <c r="T50" i="4" s="1"/>
  <c r="T43" i="4" s="1"/>
  <c r="T59" i="4" s="1"/>
  <c r="T84" i="4" s="1"/>
  <c r="T25" i="4"/>
  <c r="R56" i="4"/>
  <c r="R60" i="4" s="1"/>
  <c r="R61" i="4" s="1"/>
  <c r="R69" i="4" s="1"/>
  <c r="R45" i="4"/>
  <c r="R46" i="4" s="1"/>
  <c r="T22" i="4"/>
  <c r="T23" i="4"/>
  <c r="T42" i="4"/>
  <c r="T38" i="4"/>
  <c r="T14" i="4"/>
  <c r="U31" i="4" s="1"/>
  <c r="T51" i="4" l="1"/>
  <c r="S56" i="4"/>
  <c r="S60" i="4" s="1"/>
  <c r="S61" i="4" s="1"/>
  <c r="T33" i="4"/>
  <c r="T35" i="4" s="1"/>
  <c r="T37" i="4" s="1"/>
  <c r="S69" i="4"/>
  <c r="S40" i="4"/>
  <c r="S44" i="4" s="1"/>
  <c r="U10" i="4"/>
  <c r="U78" i="4" s="1"/>
  <c r="U81" i="4" s="1"/>
  <c r="U32" i="4"/>
  <c r="U48" i="4"/>
  <c r="T75" i="4" l="1"/>
  <c r="T77" i="4" s="1"/>
  <c r="T80" i="4" s="1"/>
  <c r="T85" i="4" s="1"/>
  <c r="T86" i="4" s="1"/>
  <c r="T88" i="4" s="1"/>
  <c r="U49" i="4"/>
  <c r="U50" i="4" s="1"/>
  <c r="U25" i="4"/>
  <c r="S45" i="4"/>
  <c r="S46" i="4" s="1"/>
  <c r="T40" i="4"/>
  <c r="T44" i="4" s="1"/>
  <c r="U39" i="4"/>
  <c r="U79" i="4" s="1"/>
  <c r="U83" i="4" s="1"/>
  <c r="T56" i="4"/>
  <c r="T60" i="4" s="1"/>
  <c r="T61" i="4" s="1"/>
  <c r="T69" i="4" s="1"/>
  <c r="U38" i="4"/>
  <c r="U21" i="4"/>
  <c r="T45" i="4" l="1"/>
  <c r="T46" i="4" s="1"/>
  <c r="U51" i="4"/>
  <c r="U33" i="4"/>
  <c r="U43" i="4"/>
  <c r="U59" i="4" s="1"/>
  <c r="U84" i="4" s="1"/>
  <c r="U42" i="4"/>
  <c r="U22" i="4"/>
  <c r="U14" i="4"/>
  <c r="V31" i="4" s="1"/>
  <c r="U23" i="4"/>
  <c r="U35" i="4" l="1"/>
  <c r="U37" i="4" s="1"/>
  <c r="U75" i="4"/>
  <c r="U77" i="4" s="1"/>
  <c r="V10" i="4"/>
  <c r="V78" i="4" s="1"/>
  <c r="V81" i="4" s="1"/>
  <c r="V32" i="4"/>
  <c r="V48" i="4"/>
  <c r="U80" i="4" l="1"/>
  <c r="U85" i="4" s="1"/>
  <c r="U86" i="4" s="1"/>
  <c r="U88" i="4" s="1"/>
  <c r="U40" i="4"/>
  <c r="U44" i="4" s="1"/>
  <c r="V39" i="4"/>
  <c r="V79" i="4" s="1"/>
  <c r="V83" i="4" s="1"/>
  <c r="V38" i="4"/>
  <c r="U56" i="4"/>
  <c r="U60" i="4" s="1"/>
  <c r="U61" i="4" s="1"/>
  <c r="U69" i="4" s="1"/>
  <c r="V49" i="4" l="1"/>
  <c r="V50" i="4" s="1"/>
  <c r="V51" i="4" s="1"/>
  <c r="V25" i="4"/>
  <c r="U45" i="4"/>
  <c r="U46" i="4" s="1"/>
  <c r="V21" i="4"/>
  <c r="V14" i="4"/>
  <c r="W31" i="4" s="1"/>
  <c r="V43" i="4" l="1"/>
  <c r="V59" i="4" s="1"/>
  <c r="V84" i="4" s="1"/>
  <c r="V33" i="4"/>
  <c r="W10" i="4"/>
  <c r="W78" i="4" s="1"/>
  <c r="W81" i="4" s="1"/>
  <c r="W32" i="4"/>
  <c r="V42" i="4"/>
  <c r="V22" i="4"/>
  <c r="V23" i="4"/>
  <c r="W48" i="4"/>
  <c r="W39" i="4"/>
  <c r="W79" i="4" s="1"/>
  <c r="W83" i="4" s="1"/>
  <c r="V75" i="4" l="1"/>
  <c r="V77" i="4" s="1"/>
  <c r="V80" i="4" s="1"/>
  <c r="V85" i="4" s="1"/>
  <c r="V86" i="4" s="1"/>
  <c r="V88" i="4" s="1"/>
  <c r="V35" i="4"/>
  <c r="V37" i="4" s="1"/>
  <c r="W38" i="4"/>
  <c r="W21" i="4"/>
  <c r="W14" i="4"/>
  <c r="X31" i="4" s="1"/>
  <c r="V56" i="4" l="1"/>
  <c r="V60" i="4" s="1"/>
  <c r="V61" i="4" s="1"/>
  <c r="V69" i="4" s="1"/>
  <c r="W49" i="4"/>
  <c r="W50" i="4" s="1"/>
  <c r="W33" i="4" s="1"/>
  <c r="W25" i="4"/>
  <c r="V40" i="4"/>
  <c r="V44" i="4" s="1"/>
  <c r="W51" i="4"/>
  <c r="X10" i="4"/>
  <c r="X78" i="4" s="1"/>
  <c r="X81" i="4" s="1"/>
  <c r="X32" i="4"/>
  <c r="W42" i="4"/>
  <c r="W22" i="4"/>
  <c r="X48" i="4"/>
  <c r="W23" i="4"/>
  <c r="W43" i="4" l="1"/>
  <c r="W59" i="4" s="1"/>
  <c r="W84" i="4" s="1"/>
  <c r="V45" i="4"/>
  <c r="V46" i="4" s="1"/>
  <c r="X38" i="4"/>
  <c r="X21" i="4"/>
  <c r="X22" i="4" s="1"/>
  <c r="X14" i="4"/>
  <c r="X39" i="4"/>
  <c r="X79" i="4" s="1"/>
  <c r="X83" i="4" s="1"/>
  <c r="W75" i="4" l="1"/>
  <c r="W77" i="4" s="1"/>
  <c r="W80" i="4" s="1"/>
  <c r="W85" i="4" s="1"/>
  <c r="W86" i="4" s="1"/>
  <c r="W88" i="4" s="1"/>
  <c r="W35" i="4"/>
  <c r="W37" i="4" s="1"/>
  <c r="W40" i="4" s="1"/>
  <c r="W44" i="4" s="1"/>
  <c r="Y10" i="4"/>
  <c r="Y78" i="4" s="1"/>
  <c r="Y81" i="4" s="1"/>
  <c r="Y32" i="4"/>
  <c r="X23" i="4"/>
  <c r="X42" i="4"/>
  <c r="Y48" i="4"/>
  <c r="X25" i="4"/>
  <c r="Y39" i="4"/>
  <c r="Y79" i="4" s="1"/>
  <c r="Y83" i="4" s="1"/>
  <c r="W56" i="4" l="1"/>
  <c r="W60" i="4" s="1"/>
  <c r="W61" i="4" s="1"/>
  <c r="W69" i="4" s="1"/>
  <c r="W45" i="4"/>
  <c r="W46" i="4" s="1"/>
  <c r="X49" i="4"/>
  <c r="X50" i="4" s="1"/>
  <c r="Y38" i="4"/>
  <c r="Y49" i="4" l="1"/>
  <c r="Y50" i="4" s="1"/>
  <c r="Y33" i="4" s="1"/>
  <c r="Y25" i="4"/>
  <c r="X51" i="4"/>
  <c r="X43" i="4"/>
  <c r="X59" i="4" s="1"/>
  <c r="X84" i="4" s="1"/>
  <c r="X33" i="4"/>
  <c r="Y14" i="4"/>
  <c r="Y21" i="4"/>
  <c r="Y22" i="4" s="1"/>
  <c r="Y43" i="4" l="1"/>
  <c r="Y59" i="4" s="1"/>
  <c r="Y84" i="4" s="1"/>
  <c r="Y51" i="4"/>
  <c r="X35" i="4"/>
  <c r="X37" i="4" s="1"/>
  <c r="X75" i="4"/>
  <c r="X77" i="4" s="1"/>
  <c r="Y42" i="4"/>
  <c r="Y23" i="4"/>
  <c r="Y35" i="4" l="1"/>
  <c r="Y37" i="4" s="1"/>
  <c r="Y75" i="4"/>
  <c r="Y77" i="4" s="1"/>
  <c r="Y80" i="4" s="1"/>
  <c r="Y85" i="4" s="1"/>
  <c r="Y86" i="4" s="1"/>
  <c r="Y88" i="4" s="1"/>
  <c r="F89" i="4" s="1"/>
  <c r="X80" i="4"/>
  <c r="X85" i="4" s="1"/>
  <c r="X86" i="4" s="1"/>
  <c r="X88" i="4" s="1"/>
  <c r="X40" i="4"/>
  <c r="X44" i="4" s="1"/>
  <c r="X56" i="4"/>
  <c r="X60" i="4" s="1"/>
  <c r="X61" i="4" s="1"/>
  <c r="X69" i="4" s="1"/>
  <c r="Y56" i="4" l="1"/>
  <c r="Y60" i="4" s="1"/>
  <c r="Y61" i="4" s="1"/>
  <c r="Y69" i="4" s="1"/>
  <c r="X45" i="4"/>
  <c r="X46" i="4" s="1"/>
  <c r="Y40" i="4"/>
  <c r="Y44" i="4" s="1"/>
  <c r="F56" i="4"/>
  <c r="F60" i="4" s="1"/>
  <c r="F61" i="4" s="1"/>
  <c r="F69" i="4" s="1"/>
  <c r="F70" i="4" l="1"/>
  <c r="Y45" i="4"/>
  <c r="Y46" i="4" s="1"/>
  <c r="F52" i="4" l="1"/>
  <c r="F53" i="4" s="1"/>
  <c r="F63" i="4"/>
  <c r="G52" i="4" l="1"/>
  <c r="G53" i="4" s="1"/>
  <c r="G63" i="4"/>
  <c r="H52" i="4" l="1"/>
  <c r="H53" i="4" s="1"/>
  <c r="H63" i="4"/>
  <c r="I52" i="4" l="1"/>
  <c r="I53" i="4" s="1"/>
  <c r="I63" i="4"/>
  <c r="J52" i="4" l="1"/>
  <c r="J53" i="4" s="1"/>
  <c r="J63" i="4"/>
  <c r="K52" i="4" l="1"/>
  <c r="K53" i="4" s="1"/>
  <c r="K63" i="4"/>
  <c r="L52" i="4" l="1"/>
  <c r="L53" i="4" s="1"/>
  <c r="L63" i="4"/>
  <c r="M52" i="4" l="1"/>
  <c r="M53" i="4" s="1"/>
  <c r="M63" i="4"/>
  <c r="N52" i="4" l="1"/>
  <c r="N53" i="4" s="1"/>
  <c r="N63" i="4"/>
  <c r="O52" i="4" l="1"/>
  <c r="O53" i="4" s="1"/>
  <c r="O63" i="4"/>
  <c r="P52" i="4" l="1"/>
  <c r="P53" i="4" s="1"/>
  <c r="P63" i="4"/>
  <c r="Q52" i="4" l="1"/>
  <c r="Q53" i="4" s="1"/>
  <c r="Q63" i="4"/>
  <c r="R52" i="4" l="1"/>
  <c r="R53" i="4" s="1"/>
  <c r="R63" i="4"/>
  <c r="S52" i="4" l="1"/>
  <c r="S53" i="4" s="1"/>
  <c r="S63" i="4"/>
  <c r="T52" i="4" l="1"/>
  <c r="T53" i="4" s="1"/>
  <c r="T63" i="4"/>
  <c r="U52" i="4" l="1"/>
  <c r="U53" i="4" s="1"/>
  <c r="U63" i="4"/>
  <c r="V52" i="4" l="1"/>
  <c r="V53" i="4" s="1"/>
  <c r="V63" i="4"/>
  <c r="W52" i="4" l="1"/>
  <c r="W53" i="4" s="1"/>
  <c r="W63" i="4"/>
  <c r="X52" i="4" l="1"/>
  <c r="X53" i="4" s="1"/>
  <c r="X63" i="4"/>
  <c r="Y52" i="4" l="1"/>
  <c r="Y53" i="4" s="1"/>
  <c r="Y63" i="4"/>
</calcChain>
</file>

<file path=xl/comments1.xml><?xml version="1.0" encoding="utf-8"?>
<comments xmlns="http://schemas.openxmlformats.org/spreadsheetml/2006/main">
  <authors>
    <author>pxr1</author>
  </authors>
  <commentList>
    <comment ref="E35" authorId="0">
      <text>
        <r>
          <rPr>
            <b/>
            <sz val="8"/>
            <color indexed="81"/>
            <rFont val="Tahoma"/>
            <family val="2"/>
          </rPr>
          <t xml:space="preserve">The version used here is a simplified version of the IM CPP formula without required timing of cashflow adjustments. For Information disclosure purposes line charge revenue may be determined in various ways including under a DPP determination or as determined by pricing policies for exempt suppliers.
 </t>
        </r>
      </text>
    </comment>
    <comment ref="F70" authorId="0">
      <text>
        <r>
          <rPr>
            <b/>
            <sz val="8"/>
            <color indexed="81"/>
            <rFont val="Tahoma"/>
            <family val="2"/>
          </rPr>
          <t>PV of cashflows will equal the initial RAB value only if no allocation adjustment is made (allocation adjustments alter the RAB value)</t>
        </r>
      </text>
    </comment>
    <comment ref="F89" authorId="0">
      <text>
        <r>
          <rPr>
            <b/>
            <sz val="8"/>
            <color indexed="81"/>
            <rFont val="Tahoma"/>
            <family val="2"/>
          </rPr>
          <t>PV of cashflows will equal the initial RAB value only if no allocation adjustment is made (allocation adjustments alter the RAB value)</t>
        </r>
      </text>
    </comment>
  </commentList>
</comments>
</file>

<file path=xl/comments2.xml><?xml version="1.0" encoding="utf-8"?>
<comments xmlns="http://schemas.openxmlformats.org/spreadsheetml/2006/main">
  <authors>
    <author>pxr1</author>
  </authors>
  <commentList>
    <comment ref="N2" authorId="0">
      <text>
        <r>
          <rPr>
            <b/>
            <sz val="8"/>
            <color indexed="81"/>
            <rFont val="Tahoma"/>
            <family val="2"/>
          </rPr>
          <t>For illustrative purposes only</t>
        </r>
        <r>
          <rPr>
            <sz val="8"/>
            <color indexed="81"/>
            <rFont val="Tahoma"/>
            <family val="2"/>
          </rPr>
          <t xml:space="preserve">
</t>
        </r>
      </text>
    </comment>
    <comment ref="E8" authorId="0">
      <text>
        <r>
          <rPr>
            <b/>
            <sz val="8"/>
            <color indexed="81"/>
            <rFont val="Tahoma"/>
            <family val="2"/>
          </rPr>
          <t>Value to be added to RAB</t>
        </r>
        <r>
          <rPr>
            <sz val="8"/>
            <color indexed="81"/>
            <rFont val="Tahoma"/>
            <family val="2"/>
          </rPr>
          <t xml:space="preserve">
</t>
        </r>
      </text>
    </comment>
    <comment ref="H8" authorId="0">
      <text>
        <r>
          <rPr>
            <b/>
            <sz val="8"/>
            <color indexed="81"/>
            <rFont val="Tahoma"/>
            <family val="2"/>
          </rPr>
          <t>Value to be added to Regulatory Tax Asset Values</t>
        </r>
        <r>
          <rPr>
            <sz val="8"/>
            <color indexed="81"/>
            <rFont val="Tahoma"/>
            <family val="2"/>
          </rPr>
          <t xml:space="preserve">
</t>
        </r>
      </text>
    </comment>
    <comment ref="B9" authorId="0">
      <text>
        <r>
          <rPr>
            <b/>
            <sz val="8"/>
            <color indexed="81"/>
            <rFont val="Tahoma"/>
            <family val="2"/>
          </rPr>
          <t>Input value is used only if allocation flag in 'Tax calcs' worksheet  at B5
 is set to "Adjust allocation".</t>
        </r>
      </text>
    </comment>
    <comment ref="E11" authorId="0">
      <text>
        <r>
          <rPr>
            <b/>
            <sz val="8"/>
            <color indexed="81"/>
            <rFont val="Tahoma"/>
            <family val="2"/>
          </rPr>
          <t>Value to be added to Deferred Tax Balance</t>
        </r>
      </text>
    </comment>
    <comment ref="E20" authorId="0">
      <text>
        <r>
          <rPr>
            <b/>
            <sz val="8"/>
            <color indexed="81"/>
            <rFont val="Tahoma"/>
            <family val="2"/>
          </rPr>
          <t>Value to be added to RAB</t>
        </r>
        <r>
          <rPr>
            <sz val="8"/>
            <color indexed="81"/>
            <rFont val="Tahoma"/>
            <family val="2"/>
          </rPr>
          <t xml:space="preserve">
</t>
        </r>
      </text>
    </comment>
    <comment ref="H20" authorId="0">
      <text>
        <r>
          <rPr>
            <b/>
            <sz val="8"/>
            <color indexed="81"/>
            <rFont val="Tahoma"/>
            <family val="2"/>
          </rPr>
          <t>Value to be added to Regulatory Tax Asset Values</t>
        </r>
        <r>
          <rPr>
            <sz val="8"/>
            <color indexed="81"/>
            <rFont val="Tahoma"/>
            <family val="2"/>
          </rPr>
          <t xml:space="preserve">
</t>
        </r>
      </text>
    </comment>
    <comment ref="B21" authorId="0">
      <text>
        <r>
          <rPr>
            <b/>
            <sz val="8"/>
            <color indexed="81"/>
            <rFont val="Tahoma"/>
            <family val="2"/>
          </rPr>
          <t>Input value is used only if allocation flag in 'Tax calcs' worksheet  at B5 is set to "Adjust allocation".</t>
        </r>
      </text>
    </comment>
    <comment ref="E23" authorId="0">
      <text>
        <r>
          <rPr>
            <b/>
            <sz val="8"/>
            <color indexed="81"/>
            <rFont val="Tahoma"/>
            <family val="2"/>
          </rPr>
          <t>Value to be added to Deferred Tax Balance</t>
        </r>
      </text>
    </comment>
  </commentList>
</comments>
</file>

<file path=xl/sharedStrings.xml><?xml version="1.0" encoding="utf-8"?>
<sst xmlns="http://schemas.openxmlformats.org/spreadsheetml/2006/main" count="356" uniqueCount="245">
  <si>
    <t>Unallocated</t>
  </si>
  <si>
    <t>Allocated</t>
  </si>
  <si>
    <t>RAB</t>
  </si>
  <si>
    <t>Tax</t>
  </si>
  <si>
    <t>Depreciation</t>
  </si>
  <si>
    <t xml:space="preserve">Closing </t>
  </si>
  <si>
    <t>Difference</t>
  </si>
  <si>
    <t>Cost allocation adjustment</t>
  </si>
  <si>
    <t>Period 1</t>
  </si>
  <si>
    <t>Period 2</t>
  </si>
  <si>
    <t>Opening</t>
  </si>
  <si>
    <t>Adjustment from application of 2.1.1</t>
  </si>
  <si>
    <t>Deferred Tax Balance</t>
  </si>
  <si>
    <t>Cost Alloc. Adj</t>
  </si>
  <si>
    <t>Adjusted</t>
  </si>
  <si>
    <t>Deprec.</t>
  </si>
  <si>
    <t>x result of Asset</t>
  </si>
  <si>
    <t>Allocation Ratio</t>
  </si>
  <si>
    <t>Asset Value</t>
  </si>
  <si>
    <t>Opening values</t>
  </si>
  <si>
    <t>Deferred Tax Balance (notional)</t>
  </si>
  <si>
    <t>Amort. Initial Diff.</t>
  </si>
  <si>
    <t>Per IM</t>
  </si>
  <si>
    <t>Unamortised Initial Differences</t>
  </si>
  <si>
    <t>Tax Value</t>
  </si>
  <si>
    <t>Temp Diff.</t>
  </si>
  <si>
    <t>WACC</t>
  </si>
  <si>
    <t>Sum of unallocated initial RAB values</t>
  </si>
  <si>
    <t>Sum of initial RAB values</t>
  </si>
  <si>
    <t>Sum of regulatory tax asset values</t>
  </si>
  <si>
    <t>Opening unamortised differences</t>
  </si>
  <si>
    <t>Corporate tax rate</t>
  </si>
  <si>
    <t>Tax asset residual value</t>
  </si>
  <si>
    <t>Tax depreciation (DV)</t>
  </si>
  <si>
    <t>Revaluation rate</t>
  </si>
  <si>
    <t>W.A. remaining asset life</t>
  </si>
  <si>
    <t>Adjusted depreciation</t>
  </si>
  <si>
    <t>Notional RAB closing value</t>
  </si>
  <si>
    <t>RAB Closing value</t>
  </si>
  <si>
    <t xml:space="preserve">Tax depreciation </t>
  </si>
  <si>
    <t>Adjusted asset value</t>
  </si>
  <si>
    <t>Unamortised initial difference</t>
  </si>
  <si>
    <t>Cumulative revaluations</t>
  </si>
  <si>
    <t>Return on capital</t>
  </si>
  <si>
    <t>Annual amortisation of revals.</t>
  </si>
  <si>
    <t>Cumulative amort of revals.</t>
  </si>
  <si>
    <t>Tax effect of amortisation of revals.</t>
  </si>
  <si>
    <t>Return on Investment</t>
  </si>
  <si>
    <t>Tax Payable</t>
  </si>
  <si>
    <t>Sum of tax asset values</t>
  </si>
  <si>
    <t>Result of asset allocation ratio</t>
  </si>
  <si>
    <t>Total Asset Base</t>
  </si>
  <si>
    <t>RAB Value ($M)</t>
  </si>
  <si>
    <t>Tax Value ($M)</t>
  </si>
  <si>
    <t>Amortisation:</t>
  </si>
  <si>
    <t>Seller</t>
  </si>
  <si>
    <t>Total amortisation</t>
  </si>
  <si>
    <t>Amortisation in Books of Acquirer</t>
  </si>
  <si>
    <t>Over/(under) amortisation</t>
  </si>
  <si>
    <t xml:space="preserve">Remove unamortised difference relating to single asset </t>
  </si>
  <si>
    <t>New unamortised balance of differences</t>
  </si>
  <si>
    <t>Adjust allocation</t>
  </si>
  <si>
    <t>No change</t>
  </si>
  <si>
    <t>Closing asset value tax difference</t>
  </si>
  <si>
    <t>Add back tax effect of revaluations</t>
  </si>
  <si>
    <t>Tax effect of Initial differences</t>
  </si>
  <si>
    <t>Amortisation year 1</t>
  </si>
  <si>
    <t>Amortisation year 2</t>
  </si>
  <si>
    <t>AMORTISATION OF REVALUATIONS</t>
  </si>
  <si>
    <t>Revaluation (on opening RAB)</t>
  </si>
  <si>
    <t>Opening RAB</t>
  </si>
  <si>
    <t>Opening Deferred Tax</t>
  </si>
  <si>
    <t>Opening RIV</t>
  </si>
  <si>
    <t>Per IFRIS</t>
  </si>
  <si>
    <t>Balance per IFRIS</t>
  </si>
  <si>
    <t xml:space="preserve">Leverage </t>
  </si>
  <si>
    <t>Cost of debt</t>
  </si>
  <si>
    <t>Less notional deductible interest</t>
  </si>
  <si>
    <t>Regulatory taxable income</t>
  </si>
  <si>
    <t xml:space="preserve">Closing deferred tax </t>
  </si>
  <si>
    <t>Year</t>
  </si>
  <si>
    <t>Initial values</t>
  </si>
  <si>
    <t>Cost allocation adjustments not calculated for these years</t>
  </si>
  <si>
    <r>
      <t xml:space="preserve">FOR ILLUSTRATIVE PURPOSES ONLY    </t>
    </r>
    <r>
      <rPr>
        <sz val="14"/>
        <rFont val="Calibri"/>
        <family val="2"/>
        <scheme val="minor"/>
      </rPr>
      <t>Note - for simplicity, tax losses, permanent adjustments and non-depreciation temporary differences are assumed to be nil</t>
    </r>
  </si>
  <si>
    <t>Deduct tax effect of dep. on revaluations</t>
  </si>
  <si>
    <t>Tax balance</t>
  </si>
  <si>
    <t xml:space="preserve">Deferred </t>
  </si>
  <si>
    <t>$M</t>
  </si>
  <si>
    <t>Single asset component (=10%)</t>
  </si>
  <si>
    <t>Depreciation temporary differences</t>
  </si>
  <si>
    <t>Amortisation of initial differences</t>
  </si>
  <si>
    <t>Tax effect of amort. initial differences</t>
  </si>
  <si>
    <t xml:space="preserve">Tax effect of initial differences </t>
  </si>
  <si>
    <t>Closing asset value difference</t>
  </si>
  <si>
    <t>Tax effect</t>
  </si>
  <si>
    <t>Net taxable income</t>
  </si>
  <si>
    <t>PV Cashflows</t>
  </si>
  <si>
    <t>Cashflows end of year</t>
  </si>
  <si>
    <t>Cashflows beginning of year</t>
  </si>
  <si>
    <t>Amortisation in Books of Seller</t>
  </si>
  <si>
    <t>(if another regulated supplier)</t>
  </si>
  <si>
    <t>Total amortisation by seller</t>
  </si>
  <si>
    <t>Closing deferred tax balance at sale date</t>
  </si>
  <si>
    <t>Detailed reconciliation from asset values:</t>
  </si>
  <si>
    <t>Tax effect of allocation adjustment</t>
  </si>
  <si>
    <t xml:space="preserve">Add closing DTB per IM </t>
  </si>
  <si>
    <t>Instructions</t>
  </si>
  <si>
    <t>Purpose of the workbook</t>
  </si>
  <si>
    <t>The purpose of the individual worksheets is as follows:</t>
  </si>
  <si>
    <t>Tax calcs'!A1</t>
  </si>
  <si>
    <t>Cost allocation adjustment'!A1</t>
  </si>
  <si>
    <t>Amortisation of sold asset'!A1</t>
  </si>
  <si>
    <t>DTB of sold asset'!A1</t>
  </si>
  <si>
    <t>Name of Worksheet</t>
  </si>
  <si>
    <t>Description of Purpose</t>
  </si>
  <si>
    <t xml:space="preserve">Regulatory tax allowance </t>
  </si>
  <si>
    <t>IM Reference</t>
  </si>
  <si>
    <t>To illustrate the calculation of:</t>
  </si>
  <si>
    <t>2.3.1</t>
  </si>
  <si>
    <t>2.3.7</t>
  </si>
  <si>
    <t>Regulatory tax asset value</t>
  </si>
  <si>
    <t>2.3.9</t>
  </si>
  <si>
    <t>2.3.7(5)</t>
  </si>
  <si>
    <t>2.3.5(4)(a)</t>
  </si>
  <si>
    <t>Regulatory tax adjustments</t>
  </si>
  <si>
    <t>2.3.4, 2.3.5, 2.3.6</t>
  </si>
  <si>
    <t>2.3.8(2)</t>
  </si>
  <si>
    <r>
      <t xml:space="preserve">To illustrate the calculation of the </t>
    </r>
    <r>
      <rPr>
        <i/>
        <sz val="11"/>
        <color theme="1"/>
        <rFont val="Calibri"/>
        <family val="2"/>
        <scheme val="minor"/>
      </rPr>
      <t xml:space="preserve">cost allocation adjustment </t>
    </r>
    <r>
      <rPr>
        <sz val="11"/>
        <color theme="1"/>
        <rFont val="Calibri"/>
        <family val="2"/>
        <scheme val="minor"/>
      </rPr>
      <t>for use in the deferred tax balance roll-forward.</t>
    </r>
  </si>
  <si>
    <t>2.3.7(2)</t>
  </si>
  <si>
    <t>2.3.9(4)</t>
  </si>
  <si>
    <t>Tax payable per 2008 Electricity ID Requirements</t>
  </si>
  <si>
    <t>Regulatory tax allowance</t>
  </si>
  <si>
    <t>2.3.1(3)</t>
  </si>
  <si>
    <t>2.3.4(2)</t>
  </si>
  <si>
    <t>2.3.6</t>
  </si>
  <si>
    <t>2.3.5</t>
  </si>
  <si>
    <t>Total depreciation</t>
  </si>
  <si>
    <t>1.1.4(2)</t>
  </si>
  <si>
    <t>Building blocks allowable revenue before tax</t>
  </si>
  <si>
    <t>5.3.2(1)</t>
  </si>
  <si>
    <t>2.3.1(1)</t>
  </si>
  <si>
    <t>Regulatory profit/(loss)</t>
  </si>
  <si>
    <t>Category</t>
  </si>
  <si>
    <t>Opex</t>
  </si>
  <si>
    <t>Opex (opening)</t>
  </si>
  <si>
    <t>Operating surplus/(deficit)</t>
  </si>
  <si>
    <t xml:space="preserve">Regulatory profit/(loss) before tax </t>
  </si>
  <si>
    <t>Adjustment resulting from asset allocation</t>
  </si>
  <si>
    <t>2.2.4(4)</t>
  </si>
  <si>
    <t>2.3.9(1)</t>
  </si>
  <si>
    <t>Amortisation of initial differences in asset values</t>
  </si>
  <si>
    <t>ID Schedule 16</t>
  </si>
  <si>
    <t>IM/ID Ref.</t>
  </si>
  <si>
    <t>2.3.7(1)</t>
  </si>
  <si>
    <t>2.2.4(3)</t>
  </si>
  <si>
    <t>Plus revaluations</t>
  </si>
  <si>
    <t>2.2.9(2)</t>
  </si>
  <si>
    <t>ID 1.4.3</t>
  </si>
  <si>
    <t>Key Assumptions:</t>
  </si>
  <si>
    <t>Cost allocation flag:</t>
  </si>
  <si>
    <t>Value end of year 10</t>
  </si>
  <si>
    <t>Scenario: Sale of asset at end of year 10</t>
  </si>
  <si>
    <t>Scenario: Sale of asset at end of Year 10</t>
  </si>
  <si>
    <t>Before transfer</t>
  </si>
  <si>
    <t>Transferred</t>
  </si>
  <si>
    <t>Value of asset sold</t>
  </si>
  <si>
    <t>DTB comprises:</t>
  </si>
  <si>
    <t>2.3.7(3)</t>
  </si>
  <si>
    <t>Revenue</t>
  </si>
  <si>
    <t>Building blocks revenue</t>
  </si>
  <si>
    <t>Operating surplus</t>
  </si>
  <si>
    <t>Revaluations</t>
  </si>
  <si>
    <t>Total Depreciation</t>
  </si>
  <si>
    <t>Regulatory profit/(loss) before tax</t>
  </si>
  <si>
    <t>Plus total depreciation</t>
  </si>
  <si>
    <t>Less tax depreciation</t>
  </si>
  <si>
    <t>Less revaluations</t>
  </si>
  <si>
    <t>Tax payable</t>
  </si>
  <si>
    <t>Opening asset allocation ratio</t>
  </si>
  <si>
    <t>Comparison of cashflows</t>
  </si>
  <si>
    <t>Unallocated closing values</t>
  </si>
  <si>
    <t>Closing asset allocated value</t>
  </si>
  <si>
    <t>Closing asset allocation ratio</t>
  </si>
  <si>
    <t>Accounting checks on Closing Deferred Tax Balance</t>
  </si>
  <si>
    <t>The workbook has been prepared to illustrate how the modified deferred tax allowance, the regulatory tax asset values and the deferred tax balance are calculated in accordance with the tax input methodologies for Electricity Distribution Businesses and Gas Distribution Businesses. It is not intended to provide a working model to support ID disclosures but has been simplified in many areas for illustrative purposes. For example a steady state regulatory asset base is used, with no commissioned or disposed assets.</t>
  </si>
  <si>
    <t>To compare cashflows under the modified deferred tax and tax payable building blocks approaches.</t>
  </si>
  <si>
    <t>N/A</t>
  </si>
  <si>
    <t>Schedule/Line</t>
  </si>
  <si>
    <t>5a(vi)/81</t>
  </si>
  <si>
    <t>5a(viii)/94</t>
  </si>
  <si>
    <t>5a(iii)/37</t>
  </si>
  <si>
    <t>5a(iv)/49</t>
  </si>
  <si>
    <t>5a(i)/19</t>
  </si>
  <si>
    <t>5a(i)/22</t>
  </si>
  <si>
    <t>5a(i)/28</t>
  </si>
  <si>
    <t>5a(i)/8</t>
  </si>
  <si>
    <t>3(i)/33</t>
  </si>
  <si>
    <t>5a(vi)/65</t>
  </si>
  <si>
    <t>4(i)/10</t>
  </si>
  <si>
    <t>4(iii)/70</t>
  </si>
  <si>
    <t>4(i)/12</t>
  </si>
  <si>
    <t>3(i)/19</t>
  </si>
  <si>
    <t>3(i)/15</t>
  </si>
  <si>
    <t>2(ii)/28</t>
  </si>
  <si>
    <t>2(ii)/42</t>
  </si>
  <si>
    <t>5a(vi)/79</t>
  </si>
  <si>
    <t>5a(vi)/67,69</t>
  </si>
  <si>
    <t>5a(vi)/73</t>
  </si>
  <si>
    <t>5a(iv)/47</t>
  </si>
  <si>
    <t>4(i)/22</t>
  </si>
  <si>
    <t>4(i)/24</t>
  </si>
  <si>
    <t>5a(viii)/89</t>
  </si>
  <si>
    <t>5a(viii)/93</t>
  </si>
  <si>
    <r>
      <t xml:space="preserve">References to the relevant information disclosure schedules and IMs are included for the numbers included in the </t>
    </r>
    <r>
      <rPr>
        <i/>
        <sz val="11"/>
        <color theme="1"/>
        <rFont val="Calibri"/>
        <family val="2"/>
        <scheme val="minor"/>
      </rPr>
      <t xml:space="preserve">Tax calcs </t>
    </r>
    <r>
      <rPr>
        <sz val="11"/>
        <color theme="1"/>
        <rFont val="Calibri"/>
        <family val="2"/>
        <scheme val="minor"/>
      </rPr>
      <t xml:space="preserve">worksheet. The schedule references are to the schedules contained in the </t>
    </r>
    <r>
      <rPr>
        <i/>
        <sz val="11"/>
        <color theme="1"/>
        <rFont val="Calibri"/>
        <family val="2"/>
        <scheme val="minor"/>
      </rPr>
      <t xml:space="preserve">Electricity Distribution Information Disclosure Determination 2012. </t>
    </r>
    <r>
      <rPr>
        <sz val="11"/>
        <color theme="1"/>
        <rFont val="Calibri"/>
        <family val="2"/>
        <scheme val="minor"/>
      </rPr>
      <t>The schedules for Gas Distribution businesses are based on the same templates.</t>
    </r>
  </si>
  <si>
    <t>55-63</t>
  </si>
  <si>
    <t>Lines</t>
  </si>
  <si>
    <t>Opening deferred tax</t>
  </si>
  <si>
    <t>Deferred tax roll-forward</t>
  </si>
  <si>
    <t>Amortisation of revaluations</t>
  </si>
  <si>
    <t>Less tax effect of amortisation of initial differences</t>
  </si>
  <si>
    <t>25-29</t>
  </si>
  <si>
    <t>15-17</t>
  </si>
  <si>
    <t>41-43</t>
  </si>
  <si>
    <t>31-45</t>
  </si>
  <si>
    <t>To illustrate the deferred tax balance transferring with the sale of an asset to another regulated supplier.</t>
  </si>
  <si>
    <t>To illustrate the adjustments for unamortised initial differences relating to an asset sold to another regulated supplier.</t>
  </si>
  <si>
    <r>
      <t xml:space="preserve">To illustrate the application of </t>
    </r>
    <r>
      <rPr>
        <i/>
        <sz val="11"/>
        <color theme="1"/>
        <rFont val="Calibri"/>
        <family val="2"/>
        <scheme val="minor"/>
      </rPr>
      <t>result of asset allocation ratio</t>
    </r>
    <r>
      <rPr>
        <sz val="11"/>
        <color theme="1"/>
        <rFont val="Calibri"/>
        <family val="2"/>
        <scheme val="minor"/>
      </rPr>
      <t xml:space="preserve"> used in calculation of the regulatory tax asset values.</t>
    </r>
  </si>
  <si>
    <t>8,20</t>
  </si>
  <si>
    <t>11,23</t>
  </si>
  <si>
    <t>RECONCILIATION TO TAX PAYABLE (ON SAME REVENUE BASE)</t>
  </si>
  <si>
    <t>To illustrate the relationship between modifed deferred tax and tax payable calculated off the same revenue base</t>
  </si>
  <si>
    <t>Modified deferred tax operating cashflows</t>
  </si>
  <si>
    <t>Tax payable operating cashflows</t>
  </si>
  <si>
    <t xml:space="preserve">Variable input cells are designated </t>
  </si>
  <si>
    <t>ROI should equal WACC if no allocation adjustment is made</t>
  </si>
  <si>
    <t>Asset allocation adjustments not calculated for these years</t>
  </si>
  <si>
    <t>CASHFLOWS WHERE REVENUE DETERMINED UNDER A TAX PAYABLE BUILDING BLOCKS APPROACH (FOR COMPARATIVE PURPOSES ONLY)</t>
  </si>
  <si>
    <t>Asset allocation adjustments have been provided for as examples in the first two years only. These are triggered by using the allocation adjustment flag at B5 of the 'Tax calcs' worksheet. The relevant values then feed from the Cost allocation adjustment worksheet into lines 13,16 and 28 of the Tax calcs worksheet. The input ratios can be varied within the Cost allocation worksheet. The adjustments assume that all regulatory tax assets have matching regulatory assets.</t>
  </si>
  <si>
    <r>
      <t xml:space="preserve">Comments have been inserted in relevant input boxes to explain the inputs and give references to the relevant sections of the Input  Methodologies. The references used are to the </t>
    </r>
    <r>
      <rPr>
        <i/>
        <sz val="11"/>
        <color theme="1"/>
        <rFont val="Calibri"/>
        <family val="2"/>
        <scheme val="minor"/>
      </rPr>
      <t>Electricity Distribution Services Input Methodologies Determination 2012</t>
    </r>
    <r>
      <rPr>
        <sz val="11"/>
        <color theme="1"/>
        <rFont val="Calibri"/>
        <family val="2"/>
        <scheme val="minor"/>
      </rPr>
      <t>. In most cases the same references will be relevant to Gas Distribution Businesses.</t>
    </r>
  </si>
  <si>
    <t>Tax effect of depreciation temporary differences</t>
  </si>
  <si>
    <r>
      <t xml:space="preserve">Annual Deferred tax charge </t>
    </r>
    <r>
      <rPr>
        <sz val="11"/>
        <rFont val="Calibri"/>
        <family val="2"/>
        <scheme val="minor"/>
      </rPr>
      <t>(taken to deferred tax balance)</t>
    </r>
  </si>
  <si>
    <t>DEFERRED TAX BALANCE CALCULATIONS</t>
  </si>
  <si>
    <t>REGULATORY AND TAX ASSET VALUE CALCULATIONS</t>
  </si>
  <si>
    <t>RETURN ON INVESTMENT CALCULATIONS</t>
  </si>
  <si>
    <t>REVENUE AND PROFIT CALCULATIONS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</si>
</sst>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4">
    <numFmt numFmtId="6" formatCode="&quot;$&quot;#,##0;[Red]\-&quot;$&quot;#,##0"/>
    <numFmt numFmtId="44" formatCode="_-&quot;$&quot;* #,##0.00_-;\-&quot;$&quot;* #,##0.00_-;_-&quot;$&quot;* &quot;-&quot;??_-;_-@_-"/>
    <numFmt numFmtId="43" formatCode="_-* #,##0.00_-;\-* #,##0.00_-;_-* &quot;-&quot;??_-;_-@_-"/>
    <numFmt numFmtId="164" formatCode="_(* #,##0.00_);_(* \(#,##0.00\);_(* &quot;-&quot;??_);_(@_)"/>
    <numFmt numFmtId="165" formatCode="0.0%"/>
    <numFmt numFmtId="166" formatCode="_-* #,##0_-;\-* #,##0_-;_-* &quot;-&quot;??_-;_-@_-"/>
    <numFmt numFmtId="167" formatCode="_-* #,##0.000_-;\-* #,##0.000_-;_-* &quot;-&quot;???_-;_-@_-"/>
    <numFmt numFmtId="168" formatCode="_(* #,##0_);_(* \(#,##0\);_(* &quot;-&quot;??_);_(@_)"/>
    <numFmt numFmtId="169" formatCode="[$-C09]d\ mmmm\ yyyy;@"/>
    <numFmt numFmtId="170" formatCode="&quot;$&quot;* #,##0.000_);&quot;$&quot;* \(#,##0.000\)"/>
    <numFmt numFmtId="171" formatCode="#,##0_);\(#,##0\);0_);* @_)"/>
    <numFmt numFmtId="172" formatCode="#,##0.0_);\(#,##0.0\);0.0_);* @_)"/>
    <numFmt numFmtId="173" formatCode="#,##0.00_);\(#,##0.00\);0.00_);* @_)"/>
    <numFmt numFmtId="174" formatCode="#,##0.000_);\(#,##0.000\);0.000_);* @_)"/>
    <numFmt numFmtId="175" formatCode="#,##0.0000_);\(#,##0.0000\);0.0000_);* @_)"/>
    <numFmt numFmtId="176" formatCode="0;\-0;0;* @"/>
    <numFmt numFmtId="177" formatCode="0%;\-0%;0%;* @_%"/>
    <numFmt numFmtId="178" formatCode="0.0%;\-0.0%;0.0%;* @_%"/>
    <numFmt numFmtId="179" formatCode="0.00%;\-0.00%;0.00%;* @_%"/>
    <numFmt numFmtId="180" formatCode="0.000%;\-0.000%;0.000%;* @_%"/>
    <numFmt numFmtId="181" formatCode="&quot;$&quot;* #,##0_);&quot;$&quot;* \(#,##0\);&quot;$&quot;* 0_);* @_)"/>
    <numFmt numFmtId="182" formatCode="&quot;$&quot;* #,##0.0_);&quot;$&quot;* \(#,##0.0\);&quot;$&quot;* 0.0_);* @_)"/>
    <numFmt numFmtId="183" formatCode="&quot;$&quot;* #,##0.00_);&quot;$&quot;* \(#,##0.00\);&quot;$&quot;* 0.00_);* @_)"/>
    <numFmt numFmtId="184" formatCode="&quot;$&quot;* #,##0.000_);&quot;$&quot;* \(#,##0.000\);&quot;$&quot;* 0.000_);* @_)"/>
    <numFmt numFmtId="185" formatCode="&quot;$&quot;* #,##0.0000_);&quot;$&quot;* \(#,##0.0000\);&quot;$&quot;* 0.0000_);* @_)"/>
    <numFmt numFmtId="186" formatCode="d\-mmm\-yyyy;[Red]&quot;Not date&quot;;&quot;-&quot;;[Red]* &quot;Not date&quot;"/>
    <numFmt numFmtId="187" formatCode="d\-mmm\-yyyy\ h:mm\ \a\.m\./\p\.m\.;[Red]* &quot;Not date&quot;;&quot;-&quot;;[Red]* &quot;Not date&quot;"/>
    <numFmt numFmtId="188" formatCode="d/mm/yyyy;[Red]* &quot;Not date&quot;;&quot;-&quot;;[Red]* &quot;Not date&quot;"/>
    <numFmt numFmtId="189" formatCode="mmm\-yy;[Red]* &quot;Not date&quot;;&quot;-&quot;;[Red]* &quot;Not date&quot;"/>
    <numFmt numFmtId="190" formatCode="h:mm\ \a\.m\./\p\.m\.;[Red]* &quot;Not time&quot;;\-;[Red]* &quot;Not time&quot;"/>
    <numFmt numFmtId="191" formatCode="[h]:mm;[Red]* &quot;Not time&quot;;[h]:mm;[Red]* &quot;Not time&quot;"/>
    <numFmt numFmtId="192" formatCode="d\-mmm\-yyyy;[Red]* &quot;Not date&quot;;&quot;-&quot;;[Red]* &quot;Not date&quot;"/>
    <numFmt numFmtId="193" formatCode="d\-mmm\-yyyy\ h:mm\ \a\.m\./\p\.m\.;[Red]* &quot;Not time&quot;;0;[Red]* &quot;Not time&quot;"/>
    <numFmt numFmtId="194" formatCode="mm/dd/yyyy;[Red]* &quot;Not date&quot;;&quot;-&quot;;[Red]* &quot;Not date&quot;"/>
  </numFmts>
  <fonts count="72">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sz val="10"/>
      <name val="Arial"/>
      <family val="2"/>
    </font>
    <font>
      <sz val="11"/>
      <name val="Calibri"/>
      <family val="2"/>
      <scheme val="minor"/>
    </font>
    <font>
      <b/>
      <sz val="11"/>
      <name val="Calibri"/>
      <family val="2"/>
      <scheme val="minor"/>
    </font>
    <font>
      <sz val="22"/>
      <name val="Calibri"/>
      <family val="2"/>
      <scheme val="minor"/>
    </font>
    <font>
      <b/>
      <sz val="12"/>
      <name val="Calibri"/>
      <family val="2"/>
      <scheme val="minor"/>
    </font>
    <font>
      <sz val="11"/>
      <color theme="0"/>
      <name val="Calibri"/>
      <family val="2"/>
      <scheme val="minor"/>
    </font>
    <font>
      <sz val="14"/>
      <name val="Calibri"/>
      <family val="2"/>
      <scheme val="minor"/>
    </font>
    <font>
      <sz val="14"/>
      <color theme="1"/>
      <name val="Calibri"/>
      <family val="2"/>
      <scheme val="minor"/>
    </font>
    <font>
      <b/>
      <sz val="12"/>
      <color theme="1"/>
      <name val="Calibri"/>
      <family val="2"/>
      <scheme val="minor"/>
    </font>
    <font>
      <b/>
      <sz val="18"/>
      <color theme="3"/>
      <name val="Cambria"/>
      <family val="2"/>
      <scheme val="maj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sz val="8"/>
      <color indexed="81"/>
      <name val="Tahoma"/>
      <family val="2"/>
    </font>
    <font>
      <b/>
      <sz val="8"/>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1"/>
      <color indexed="1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b/>
      <sz val="11"/>
      <color indexed="8"/>
      <name val="Calibri"/>
      <family val="2"/>
    </font>
    <font>
      <sz val="11"/>
      <color indexed="10"/>
      <name val="Calibri"/>
      <family val="2"/>
    </font>
    <font>
      <b/>
      <sz val="14"/>
      <name val="Arial"/>
      <family val="2"/>
    </font>
    <font>
      <b/>
      <sz val="10"/>
      <name val="Arial"/>
      <family val="2"/>
    </font>
    <font>
      <b/>
      <sz val="12"/>
      <name val="Arial"/>
      <family val="2"/>
    </font>
    <font>
      <sz val="8"/>
      <name val="Arial"/>
      <family val="2"/>
    </font>
    <font>
      <b/>
      <sz val="8"/>
      <name val="Arial"/>
      <family val="2"/>
    </font>
    <font>
      <sz val="10"/>
      <name val="MS Sans Serif"/>
      <family val="2"/>
    </font>
    <font>
      <sz val="11"/>
      <color indexed="8"/>
      <name val="Arial Mäori"/>
      <family val="2"/>
    </font>
    <font>
      <b/>
      <sz val="14"/>
      <color indexed="17"/>
      <name val="Arial"/>
      <family val="2"/>
    </font>
    <font>
      <sz val="8"/>
      <color indexed="8"/>
      <name val="Arial"/>
      <family val="2"/>
    </font>
    <font>
      <u/>
      <sz val="8"/>
      <color indexed="12"/>
      <name val="Arial"/>
      <family val="2"/>
    </font>
    <font>
      <sz val="8"/>
      <color indexed="12"/>
      <name val="Arial"/>
      <family val="2"/>
    </font>
    <font>
      <b/>
      <sz val="8"/>
      <color indexed="12"/>
      <name val="Arial"/>
      <family val="2"/>
    </font>
    <font>
      <sz val="8"/>
      <color theme="1"/>
      <name val="Arial"/>
      <family val="2"/>
    </font>
    <font>
      <sz val="8"/>
      <color theme="0"/>
      <name val="Arial"/>
      <family val="2"/>
    </font>
    <font>
      <sz val="8"/>
      <color rgb="FF9C0006"/>
      <name val="Arial"/>
      <family val="2"/>
    </font>
    <font>
      <b/>
      <sz val="11"/>
      <color indexed="52"/>
      <name val="Calibri"/>
      <family val="2"/>
      <scheme val="minor"/>
    </font>
    <font>
      <b/>
      <sz val="8"/>
      <color rgb="FFFA7D00"/>
      <name val="Arial"/>
      <family val="2"/>
    </font>
    <font>
      <b/>
      <sz val="8"/>
      <color theme="0"/>
      <name val="Arial"/>
      <family val="2"/>
    </font>
    <font>
      <i/>
      <sz val="8"/>
      <color rgb="FF7F7F7F"/>
      <name val="Arial"/>
      <family val="2"/>
    </font>
    <font>
      <sz val="8"/>
      <color rgb="FF006100"/>
      <name val="Arial"/>
      <family val="2"/>
    </font>
    <font>
      <b/>
      <sz val="15"/>
      <color theme="3"/>
      <name val="Arial"/>
      <family val="2"/>
    </font>
    <font>
      <b/>
      <sz val="13"/>
      <color theme="3"/>
      <name val="Arial"/>
      <family val="2"/>
    </font>
    <font>
      <b/>
      <sz val="11"/>
      <color theme="3"/>
      <name val="Arial"/>
      <family val="2"/>
    </font>
    <font>
      <u/>
      <sz val="11"/>
      <color theme="10"/>
      <name val="Calibri"/>
      <family val="2"/>
    </font>
    <font>
      <sz val="8"/>
      <color rgb="FF3F3F76"/>
      <name val="Arial"/>
      <family val="2"/>
    </font>
    <font>
      <sz val="8"/>
      <color rgb="FFFA7D00"/>
      <name val="Arial"/>
      <family val="2"/>
    </font>
    <font>
      <sz val="11"/>
      <color indexed="60"/>
      <name val="Calibri"/>
      <family val="2"/>
      <scheme val="minor"/>
    </font>
    <font>
      <sz val="8"/>
      <color rgb="FF9C6500"/>
      <name val="Arial"/>
      <family val="2"/>
    </font>
    <font>
      <b/>
      <sz val="8"/>
      <color rgb="FF3F3F3F"/>
      <name val="Arial"/>
      <family val="2"/>
    </font>
    <font>
      <b/>
      <sz val="8"/>
      <color theme="1"/>
      <name val="Arial"/>
      <family val="2"/>
    </font>
    <font>
      <sz val="8"/>
      <color rgb="FFFF0000"/>
      <name val="Arial"/>
      <family val="2"/>
    </font>
    <font>
      <i/>
      <sz val="11"/>
      <color theme="1"/>
      <name val="Calibri"/>
      <family val="2"/>
      <scheme val="minor"/>
    </font>
    <font>
      <b/>
      <sz val="18"/>
      <color indexed="12"/>
      <name val="Arial"/>
      <family val="2"/>
    </font>
  </fonts>
  <fills count="65">
    <fill>
      <patternFill patternType="none"/>
    </fill>
    <fill>
      <patternFill patternType="gray125"/>
    </fill>
    <fill>
      <patternFill patternType="solid">
        <fgColor theme="0" tint="-0.24994659260841701"/>
        <bgColor indexed="64"/>
      </patternFill>
    </fill>
    <fill>
      <patternFill patternType="solid">
        <fgColor theme="1"/>
        <bgColor indexed="64"/>
      </patternFill>
    </fill>
    <fill>
      <patternFill patternType="solid">
        <fgColor theme="9"/>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theme="6"/>
        <bgColor indexed="64"/>
      </patternFill>
    </fill>
    <fill>
      <patternFill patternType="solid">
        <fgColor theme="2"/>
        <bgColor indexed="64"/>
      </patternFill>
    </fill>
    <fill>
      <patternFill patternType="solid">
        <fgColor rgb="FFFFFF99"/>
        <bgColor indexed="64"/>
      </patternFill>
    </fill>
    <fill>
      <patternFill patternType="solid">
        <fgColor theme="4" tint="0.39997558519241921"/>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diagonal/>
    </border>
    <border>
      <left/>
      <right/>
      <top style="thin">
        <color indexed="62"/>
      </top>
      <bottom style="double">
        <color indexed="6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s>
  <cellStyleXfs count="344">
    <xf numFmtId="0" fontId="0" fillId="0" borderId="0"/>
    <xf numFmtId="164" fontId="1"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169" fontId="4" fillId="0" borderId="0"/>
    <xf numFmtId="0" fontId="20" fillId="38" borderId="0" applyNumberFormat="0" applyBorder="0" applyAlignment="0" applyProtection="0"/>
    <xf numFmtId="0" fontId="1" fillId="38" borderId="0" applyNumberFormat="0" applyBorder="0" applyAlignment="0" applyProtection="0"/>
    <xf numFmtId="0" fontId="51" fillId="15" borderId="0" applyNumberFormat="0" applyBorder="0" applyAlignment="0" applyProtection="0"/>
    <xf numFmtId="0" fontId="20" fillId="39" borderId="0" applyNumberFormat="0" applyBorder="0" applyAlignment="0" applyProtection="0"/>
    <xf numFmtId="0" fontId="1" fillId="39" borderId="0" applyNumberFormat="0" applyBorder="0" applyAlignment="0" applyProtection="0"/>
    <xf numFmtId="0" fontId="51" fillId="19" borderId="0" applyNumberFormat="0" applyBorder="0" applyAlignment="0" applyProtection="0"/>
    <xf numFmtId="0" fontId="20" fillId="40" borderId="0" applyNumberFormat="0" applyBorder="0" applyAlignment="0" applyProtection="0"/>
    <xf numFmtId="0" fontId="1" fillId="40" borderId="0" applyNumberFormat="0" applyBorder="0" applyAlignment="0" applyProtection="0"/>
    <xf numFmtId="0" fontId="51" fillId="23" borderId="0" applyNumberFormat="0" applyBorder="0" applyAlignment="0" applyProtection="0"/>
    <xf numFmtId="0" fontId="20" fillId="41" borderId="0" applyNumberFormat="0" applyBorder="0" applyAlignment="0" applyProtection="0"/>
    <xf numFmtId="0" fontId="1" fillId="41" borderId="0" applyNumberFormat="0" applyBorder="0" applyAlignment="0" applyProtection="0"/>
    <xf numFmtId="0" fontId="51" fillId="27" borderId="0" applyNumberFormat="0" applyBorder="0" applyAlignment="0" applyProtection="0"/>
    <xf numFmtId="0" fontId="20" fillId="42" borderId="0" applyNumberFormat="0" applyBorder="0" applyAlignment="0" applyProtection="0"/>
    <xf numFmtId="0" fontId="51" fillId="31" borderId="0" applyNumberFormat="0" applyBorder="0" applyAlignment="0" applyProtection="0"/>
    <xf numFmtId="0" fontId="20" fillId="43" borderId="0" applyNumberFormat="0" applyBorder="0" applyAlignment="0" applyProtection="0"/>
    <xf numFmtId="0" fontId="1" fillId="44" borderId="0" applyNumberFormat="0" applyBorder="0" applyAlignment="0" applyProtection="0"/>
    <xf numFmtId="0" fontId="51" fillId="35" borderId="0" applyNumberFormat="0" applyBorder="0" applyAlignment="0" applyProtection="0"/>
    <xf numFmtId="0" fontId="20" fillId="45" borderId="0" applyNumberFormat="0" applyBorder="0" applyAlignment="0" applyProtection="0"/>
    <xf numFmtId="0" fontId="1" fillId="45" borderId="0" applyNumberFormat="0" applyBorder="0" applyAlignment="0" applyProtection="0"/>
    <xf numFmtId="0" fontId="51" fillId="16" borderId="0" applyNumberFormat="0" applyBorder="0" applyAlignment="0" applyProtection="0"/>
    <xf numFmtId="0" fontId="20" fillId="46" borderId="0" applyNumberFormat="0" applyBorder="0" applyAlignment="0" applyProtection="0"/>
    <xf numFmtId="0" fontId="51" fillId="20" borderId="0" applyNumberFormat="0" applyBorder="0" applyAlignment="0" applyProtection="0"/>
    <xf numFmtId="0" fontId="20" fillId="47" borderId="0" applyNumberFormat="0" applyBorder="0" applyAlignment="0" applyProtection="0"/>
    <xf numFmtId="0" fontId="1" fillId="47" borderId="0" applyNumberFormat="0" applyBorder="0" applyAlignment="0" applyProtection="0"/>
    <xf numFmtId="0" fontId="51" fillId="24" borderId="0" applyNumberFormat="0" applyBorder="0" applyAlignment="0" applyProtection="0"/>
    <xf numFmtId="0" fontId="20" fillId="41" borderId="0" applyNumberFormat="0" applyBorder="0" applyAlignment="0" applyProtection="0"/>
    <xf numFmtId="0" fontId="1" fillId="41" borderId="0" applyNumberFormat="0" applyBorder="0" applyAlignment="0" applyProtection="0"/>
    <xf numFmtId="0" fontId="51" fillId="28" borderId="0" applyNumberFormat="0" applyBorder="0" applyAlignment="0" applyProtection="0"/>
    <xf numFmtId="0" fontId="20" fillId="45" borderId="0" applyNumberFormat="0" applyBorder="0" applyAlignment="0" applyProtection="0"/>
    <xf numFmtId="0" fontId="1" fillId="45" borderId="0" applyNumberFormat="0" applyBorder="0" applyAlignment="0" applyProtection="0"/>
    <xf numFmtId="0" fontId="51" fillId="32" borderId="0" applyNumberFormat="0" applyBorder="0" applyAlignment="0" applyProtection="0"/>
    <xf numFmtId="0" fontId="20" fillId="48" borderId="0" applyNumberFormat="0" applyBorder="0" applyAlignment="0" applyProtection="0"/>
    <xf numFmtId="0" fontId="1" fillId="48" borderId="0" applyNumberFormat="0" applyBorder="0" applyAlignment="0" applyProtection="0"/>
    <xf numFmtId="0" fontId="51" fillId="36" borderId="0" applyNumberFormat="0" applyBorder="0" applyAlignment="0" applyProtection="0"/>
    <xf numFmtId="0" fontId="21" fillId="49" borderId="0" applyNumberFormat="0" applyBorder="0" applyAlignment="0" applyProtection="0"/>
    <xf numFmtId="0" fontId="9" fillId="49" borderId="0" applyNumberFormat="0" applyBorder="0" applyAlignment="0" applyProtection="0"/>
    <xf numFmtId="0" fontId="52" fillId="17" borderId="0" applyNumberFormat="0" applyBorder="0" applyAlignment="0" applyProtection="0"/>
    <xf numFmtId="0" fontId="21" fillId="46" borderId="0" applyNumberFormat="0" applyBorder="0" applyAlignment="0" applyProtection="0"/>
    <xf numFmtId="0" fontId="9" fillId="46" borderId="0" applyNumberFormat="0" applyBorder="0" applyAlignment="0" applyProtection="0"/>
    <xf numFmtId="0" fontId="52" fillId="21" borderId="0" applyNumberFormat="0" applyBorder="0" applyAlignment="0" applyProtection="0"/>
    <xf numFmtId="0" fontId="21" fillId="47" borderId="0" applyNumberFormat="0" applyBorder="0" applyAlignment="0" applyProtection="0"/>
    <xf numFmtId="0" fontId="9" fillId="47" borderId="0" applyNumberFormat="0" applyBorder="0" applyAlignment="0" applyProtection="0"/>
    <xf numFmtId="0" fontId="52" fillId="25" borderId="0" applyNumberFormat="0" applyBorder="0" applyAlignment="0" applyProtection="0"/>
    <xf numFmtId="0" fontId="21" fillId="50" borderId="0" applyNumberFormat="0" applyBorder="0" applyAlignment="0" applyProtection="0"/>
    <xf numFmtId="0" fontId="9" fillId="50" borderId="0" applyNumberFormat="0" applyBorder="0" applyAlignment="0" applyProtection="0"/>
    <xf numFmtId="0" fontId="52" fillId="29" borderId="0" applyNumberFormat="0" applyBorder="0" applyAlignment="0" applyProtection="0"/>
    <xf numFmtId="0" fontId="21" fillId="51" borderId="0" applyNumberFormat="0" applyBorder="0" applyAlignment="0" applyProtection="0"/>
    <xf numFmtId="0" fontId="9" fillId="51" borderId="0" applyNumberFormat="0" applyBorder="0" applyAlignment="0" applyProtection="0"/>
    <xf numFmtId="0" fontId="52" fillId="33" borderId="0" applyNumberFormat="0" applyBorder="0" applyAlignment="0" applyProtection="0"/>
    <xf numFmtId="0" fontId="21" fillId="52" borderId="0" applyNumberFormat="0" applyBorder="0" applyAlignment="0" applyProtection="0"/>
    <xf numFmtId="0" fontId="9" fillId="52" borderId="0" applyNumberFormat="0" applyBorder="0" applyAlignment="0" applyProtection="0"/>
    <xf numFmtId="0" fontId="52" fillId="37" borderId="0" applyNumberFormat="0" applyBorder="0" applyAlignment="0" applyProtection="0"/>
    <xf numFmtId="0" fontId="21" fillId="53" borderId="0" applyNumberFormat="0" applyBorder="0" applyAlignment="0" applyProtection="0"/>
    <xf numFmtId="0" fontId="9" fillId="53" borderId="0" applyNumberFormat="0" applyBorder="0" applyAlignment="0" applyProtection="0"/>
    <xf numFmtId="0" fontId="52" fillId="14" borderId="0" applyNumberFormat="0" applyBorder="0" applyAlignment="0" applyProtection="0"/>
    <xf numFmtId="0" fontId="21" fillId="54" borderId="0" applyNumberFormat="0" applyBorder="0" applyAlignment="0" applyProtection="0"/>
    <xf numFmtId="0" fontId="9" fillId="54" borderId="0" applyNumberFormat="0" applyBorder="0" applyAlignment="0" applyProtection="0"/>
    <xf numFmtId="0" fontId="52" fillId="18" borderId="0" applyNumberFormat="0" applyBorder="0" applyAlignment="0" applyProtection="0"/>
    <xf numFmtId="0" fontId="21" fillId="55" borderId="0" applyNumberFormat="0" applyBorder="0" applyAlignment="0" applyProtection="0"/>
    <xf numFmtId="0" fontId="9" fillId="55" borderId="0" applyNumberFormat="0" applyBorder="0" applyAlignment="0" applyProtection="0"/>
    <xf numFmtId="0" fontId="52" fillId="22" borderId="0" applyNumberFormat="0" applyBorder="0" applyAlignment="0" applyProtection="0"/>
    <xf numFmtId="0" fontId="21" fillId="50" borderId="0" applyNumberFormat="0" applyBorder="0" applyAlignment="0" applyProtection="0"/>
    <xf numFmtId="0" fontId="9" fillId="50" borderId="0" applyNumberFormat="0" applyBorder="0" applyAlignment="0" applyProtection="0"/>
    <xf numFmtId="0" fontId="52" fillId="26" borderId="0" applyNumberFormat="0" applyBorder="0" applyAlignment="0" applyProtection="0"/>
    <xf numFmtId="0" fontId="21" fillId="51" borderId="0" applyNumberFormat="0" applyBorder="0" applyAlignment="0" applyProtection="0"/>
    <xf numFmtId="0" fontId="52" fillId="30" borderId="0" applyNumberFormat="0" applyBorder="0" applyAlignment="0" applyProtection="0"/>
    <xf numFmtId="0" fontId="21" fillId="56" borderId="0" applyNumberFormat="0" applyBorder="0" applyAlignment="0" applyProtection="0"/>
    <xf numFmtId="0" fontId="9" fillId="56" borderId="0" applyNumberFormat="0" applyBorder="0" applyAlignment="0" applyProtection="0"/>
    <xf numFmtId="0" fontId="52" fillId="34" borderId="0" applyNumberFormat="0" applyBorder="0" applyAlignment="0" applyProtection="0"/>
    <xf numFmtId="0" fontId="22" fillId="39" borderId="0" applyNumberFormat="0" applyBorder="0" applyAlignment="0" applyProtection="0"/>
    <xf numFmtId="0" fontId="15" fillId="39" borderId="0" applyNumberFormat="0" applyBorder="0" applyAlignment="0" applyProtection="0"/>
    <xf numFmtId="0" fontId="53" fillId="8" borderId="0" applyNumberFormat="0" applyBorder="0" applyAlignment="0" applyProtection="0"/>
    <xf numFmtId="0" fontId="23" fillId="44" borderId="32" applyNumberFormat="0" applyAlignment="0" applyProtection="0"/>
    <xf numFmtId="0" fontId="54" fillId="44" borderId="23" applyNumberFormat="0" applyAlignment="0" applyProtection="0"/>
    <xf numFmtId="0" fontId="55" fillId="11" borderId="23" applyNumberFormat="0" applyAlignment="0" applyProtection="0"/>
    <xf numFmtId="171" fontId="42" fillId="0" borderId="0" applyFill="0" applyBorder="0"/>
    <xf numFmtId="171" fontId="42" fillId="0" borderId="0" applyFill="0" applyBorder="0"/>
    <xf numFmtId="172" fontId="42" fillId="0" borderId="0" applyFill="0" applyBorder="0"/>
    <xf numFmtId="172" fontId="42" fillId="0" borderId="0" applyFill="0" applyBorder="0"/>
    <xf numFmtId="173" fontId="42" fillId="0" borderId="0" applyFill="0" applyBorder="0"/>
    <xf numFmtId="173" fontId="42" fillId="0" borderId="0" applyFill="0" applyBorder="0"/>
    <xf numFmtId="174" fontId="42" fillId="0" borderId="0" applyFill="0" applyBorder="0"/>
    <xf numFmtId="174" fontId="42" fillId="0" borderId="0" applyFill="0" applyBorder="0"/>
    <xf numFmtId="175" fontId="42" fillId="0" borderId="0" applyFill="0" applyBorder="0"/>
    <xf numFmtId="175" fontId="42" fillId="0" borderId="0" applyFill="0" applyBorder="0"/>
    <xf numFmtId="186" fontId="42" fillId="0" borderId="0" applyFill="0" applyBorder="0"/>
    <xf numFmtId="186" fontId="42" fillId="0" borderId="0" applyFill="0" applyBorder="0"/>
    <xf numFmtId="187" fontId="42" fillId="0" borderId="0" applyFill="0" applyBorder="0"/>
    <xf numFmtId="187" fontId="42" fillId="0" borderId="0" applyFill="0" applyBorder="0"/>
    <xf numFmtId="188" fontId="42" fillId="0" borderId="0" applyFill="0" applyBorder="0"/>
    <xf numFmtId="188" fontId="42" fillId="0" borderId="0" applyFill="0" applyBorder="0"/>
    <xf numFmtId="194" fontId="42" fillId="0" borderId="0" applyFill="0" applyBorder="0"/>
    <xf numFmtId="194" fontId="42" fillId="0" borderId="0" applyFill="0" applyBorder="0"/>
    <xf numFmtId="189" fontId="42" fillId="0" borderId="0" applyFill="0" applyBorder="0"/>
    <xf numFmtId="189" fontId="42" fillId="0" borderId="0" applyFill="0" applyBorder="0"/>
    <xf numFmtId="189" fontId="42" fillId="0" borderId="0" applyFill="0" applyBorder="0">
      <alignment horizontal="center"/>
    </xf>
    <xf numFmtId="189" fontId="42" fillId="0" borderId="0" applyFill="0" applyBorder="0">
      <alignment horizontal="center"/>
    </xf>
    <xf numFmtId="176" fontId="42" fillId="0" borderId="0" applyFill="0" applyBorder="0"/>
    <xf numFmtId="176" fontId="42" fillId="0" borderId="0" applyFill="0" applyBorder="0"/>
    <xf numFmtId="0" fontId="24" fillId="57" borderId="33" applyNumberFormat="0" applyAlignment="0" applyProtection="0"/>
    <xf numFmtId="0" fontId="56" fillId="12" borderId="26" applyNumberFormat="0" applyAlignment="0" applyProtection="0"/>
    <xf numFmtId="190" fontId="42" fillId="0" borderId="0" applyFill="0" applyBorder="0"/>
    <xf numFmtId="190" fontId="42" fillId="0" borderId="0" applyFill="0" applyBorder="0"/>
    <xf numFmtId="191" fontId="42" fillId="0" borderId="0" applyFill="0" applyBorder="0"/>
    <xf numFmtId="191" fontId="42" fillId="0" borderId="0" applyFill="0" applyBorder="0"/>
    <xf numFmtId="164" fontId="4" fillId="0" borderId="0" applyFont="0" applyFill="0" applyBorder="0" applyAlignment="0" applyProtection="0"/>
    <xf numFmtId="43" fontId="4" fillId="0" borderId="0" applyFont="0" applyFill="0" applyBorder="0" applyAlignment="0" applyProtection="0"/>
    <xf numFmtId="43" fontId="2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20" fillId="0" borderId="0" applyFont="0" applyFill="0" applyBorder="0" applyAlignment="0" applyProtection="0"/>
    <xf numFmtId="0" fontId="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4" fontId="20" fillId="0" borderId="0" applyFont="0" applyFill="0" applyBorder="0" applyAlignment="0" applyProtection="0"/>
    <xf numFmtId="43" fontId="20" fillId="0" borderId="0" applyFont="0" applyFill="0" applyBorder="0" applyAlignment="0" applyProtection="0"/>
    <xf numFmtId="43" fontId="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4" fontId="20"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2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177" fontId="42" fillId="0" borderId="0" applyFill="0" applyBorder="0"/>
    <xf numFmtId="177" fontId="42" fillId="0" borderId="0" applyFill="0" applyBorder="0"/>
    <xf numFmtId="178" fontId="47" fillId="0" borderId="0" applyFill="0" applyBorder="0"/>
    <xf numFmtId="179" fontId="42" fillId="0" borderId="0" applyFill="0" applyBorder="0"/>
    <xf numFmtId="179" fontId="42" fillId="0" borderId="0" applyFill="0" applyBorder="0"/>
    <xf numFmtId="180" fontId="42" fillId="0" borderId="0" applyFill="0" applyBorder="0"/>
    <xf numFmtId="180" fontId="42" fillId="0" borderId="0" applyFill="0" applyBorder="0"/>
    <xf numFmtId="181" fontId="42" fillId="0" borderId="0" applyFill="0" applyBorder="0"/>
    <xf numFmtId="181" fontId="42" fillId="0" borderId="0" applyFill="0" applyBorder="0"/>
    <xf numFmtId="182" fontId="42" fillId="0" borderId="0" applyFill="0" applyBorder="0"/>
    <xf numFmtId="182" fontId="42" fillId="0" borderId="0" applyFill="0" applyBorder="0"/>
    <xf numFmtId="183" fontId="42" fillId="0" borderId="0" applyFill="0" applyBorder="0"/>
    <xf numFmtId="183" fontId="42" fillId="0" borderId="0" applyFill="0" applyBorder="0"/>
    <xf numFmtId="184" fontId="42" fillId="0" borderId="0" applyFill="0" applyBorder="0"/>
    <xf numFmtId="184" fontId="42" fillId="0" borderId="0" applyFill="0" applyBorder="0"/>
    <xf numFmtId="185" fontId="42" fillId="0" borderId="0" applyFill="0" applyBorder="0"/>
    <xf numFmtId="185" fontId="42" fillId="0" borderId="0" applyFill="0" applyBorder="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5" fillId="0" borderId="0" applyNumberFormat="0" applyFill="0" applyBorder="0" applyAlignment="0" applyProtection="0"/>
    <xf numFmtId="0" fontId="57" fillId="0" borderId="0" applyNumberFormat="0" applyFill="0" applyBorder="0" applyAlignment="0" applyProtection="0"/>
    <xf numFmtId="0" fontId="26" fillId="40" borderId="0" applyNumberFormat="0" applyBorder="0" applyAlignment="0" applyProtection="0"/>
    <xf numFmtId="0" fontId="14" fillId="40" borderId="0" applyNumberFormat="0" applyBorder="0" applyAlignment="0" applyProtection="0"/>
    <xf numFmtId="0" fontId="58" fillId="7" borderId="0" applyNumberFormat="0" applyBorder="0" applyAlignment="0" applyProtection="0"/>
    <xf numFmtId="0" fontId="39" fillId="0" borderId="0" applyFill="0" applyBorder="0"/>
    <xf numFmtId="0" fontId="39" fillId="0" borderId="0" applyFill="0" applyBorder="0"/>
    <xf numFmtId="0" fontId="41" fillId="0" borderId="0" applyFill="0" applyBorder="0"/>
    <xf numFmtId="0" fontId="41" fillId="0" borderId="0" applyFill="0" applyBorder="0"/>
    <xf numFmtId="0" fontId="40" fillId="0" borderId="0" applyFill="0" applyBorder="0"/>
    <xf numFmtId="0" fontId="40" fillId="0" borderId="0" applyFill="0" applyBorder="0"/>
    <xf numFmtId="0" fontId="43" fillId="0" borderId="0" applyFill="0" applyBorder="0"/>
    <xf numFmtId="0" fontId="43" fillId="0" borderId="0" applyFill="0" applyBorder="0"/>
    <xf numFmtId="0" fontId="27" fillId="0" borderId="34" applyNumberFormat="0" applyFill="0" applyAlignment="0" applyProtection="0"/>
    <xf numFmtId="0" fontId="27" fillId="0" borderId="34" applyNumberFormat="0" applyFill="0" applyAlignment="0" applyProtection="0"/>
    <xf numFmtId="0" fontId="59" fillId="0" borderId="20" applyNumberFormat="0" applyFill="0" applyAlignment="0" applyProtection="0"/>
    <xf numFmtId="0" fontId="28" fillId="0" borderId="35" applyNumberFormat="0" applyFill="0" applyAlignment="0" applyProtection="0"/>
    <xf numFmtId="0" fontId="28" fillId="0" borderId="35" applyNumberFormat="0" applyFill="0" applyAlignment="0" applyProtection="0"/>
    <xf numFmtId="0" fontId="60" fillId="0" borderId="21" applyNumberFormat="0" applyFill="0" applyAlignment="0" applyProtection="0"/>
    <xf numFmtId="0" fontId="29" fillId="0" borderId="36" applyNumberFormat="0" applyFill="0" applyAlignment="0" applyProtection="0"/>
    <xf numFmtId="0" fontId="29" fillId="0" borderId="36" applyNumberFormat="0" applyFill="0" applyAlignment="0" applyProtection="0"/>
    <xf numFmtId="0" fontId="61" fillId="0" borderId="2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61" fillId="0" borderId="0" applyNumberFormat="0" applyFill="0" applyBorder="0" applyAlignment="0" applyProtection="0"/>
    <xf numFmtId="0" fontId="48" fillId="0" borderId="0" applyFill="0" applyBorder="0">
      <alignment horizontal="left"/>
      <protection hidden="1"/>
    </xf>
    <xf numFmtId="0" fontId="48" fillId="0" borderId="0" applyFill="0" applyBorder="0">
      <alignment horizontal="left" indent="1"/>
      <protection hidden="1"/>
    </xf>
    <xf numFmtId="0" fontId="48" fillId="0" borderId="0" applyFill="0" applyBorder="0">
      <alignment horizontal="left" indent="2"/>
      <protection hidden="1"/>
    </xf>
    <xf numFmtId="0" fontId="48" fillId="0" borderId="0" applyFill="0" applyBorder="0">
      <alignment horizontal="left" indent="3"/>
      <protection hidden="1"/>
    </xf>
    <xf numFmtId="165" fontId="30" fillId="0" borderId="0" applyNumberFormat="0" applyFill="0" applyBorder="0" applyAlignment="0" applyProtection="0">
      <alignment vertical="top"/>
      <protection locked="0"/>
    </xf>
    <xf numFmtId="165" fontId="62" fillId="0" borderId="0" applyNumberFormat="0" applyFill="0" applyBorder="0" applyAlignment="0" applyProtection="0">
      <alignment vertical="top"/>
      <protection locked="0"/>
    </xf>
    <xf numFmtId="170" fontId="48" fillId="0" borderId="0" applyNumberFormat="0" applyFill="0" applyBorder="0" applyAlignment="0" applyProtection="0">
      <protection locked="0"/>
    </xf>
    <xf numFmtId="171" fontId="49" fillId="0" borderId="0" applyFill="0" applyBorder="0">
      <protection locked="0"/>
    </xf>
    <xf numFmtId="172" fontId="49" fillId="0" borderId="0" applyFill="0" applyBorder="0">
      <protection locked="0"/>
    </xf>
    <xf numFmtId="173" fontId="49" fillId="0" borderId="0" applyFill="0" applyBorder="0">
      <protection locked="0"/>
    </xf>
    <xf numFmtId="174" fontId="49" fillId="0" borderId="0" applyFill="0" applyBorder="0">
      <protection locked="0"/>
    </xf>
    <xf numFmtId="175" fontId="49" fillId="0" borderId="0" applyFill="0" applyBorder="0">
      <protection locked="0"/>
    </xf>
    <xf numFmtId="192" fontId="49" fillId="0" borderId="0" applyFill="0" applyBorder="0">
      <protection locked="0"/>
    </xf>
    <xf numFmtId="193" fontId="49" fillId="0" borderId="0" applyFill="0" applyBorder="0">
      <protection locked="0"/>
    </xf>
    <xf numFmtId="188" fontId="49" fillId="0" borderId="0" applyFill="0" applyBorder="0">
      <protection locked="0"/>
    </xf>
    <xf numFmtId="194" fontId="49" fillId="0" borderId="0" applyFill="0" applyBorder="0">
      <protection locked="0"/>
    </xf>
    <xf numFmtId="189" fontId="49" fillId="0" borderId="0" applyFill="0" applyBorder="0">
      <protection locked="0"/>
    </xf>
    <xf numFmtId="176" fontId="49" fillId="0" borderId="0" applyFill="0" applyBorder="0">
      <protection locked="0"/>
    </xf>
    <xf numFmtId="176" fontId="50" fillId="0" borderId="0" applyFill="0" applyBorder="0">
      <protection locked="0"/>
    </xf>
    <xf numFmtId="176" fontId="49" fillId="0" borderId="0" applyFill="0" applyBorder="0">
      <protection locked="0"/>
    </xf>
    <xf numFmtId="49" fontId="49" fillId="0" borderId="0" applyFill="0" applyBorder="0">
      <alignment vertical="top"/>
      <protection locked="0"/>
    </xf>
    <xf numFmtId="49" fontId="50" fillId="0" borderId="0" applyFill="0" applyBorder="0">
      <alignment vertical="top"/>
      <protection locked="0"/>
    </xf>
    <xf numFmtId="0" fontId="49" fillId="0" borderId="0" applyFill="0" applyBorder="0">
      <alignment vertical="top" wrapText="1"/>
      <protection locked="0"/>
    </xf>
    <xf numFmtId="190" fontId="49" fillId="0" borderId="0" applyFill="0" applyBorder="0">
      <protection locked="0"/>
    </xf>
    <xf numFmtId="191" fontId="49" fillId="0" borderId="0" applyFill="0" applyBorder="0">
      <protection locked="0"/>
    </xf>
    <xf numFmtId="0" fontId="31" fillId="43" borderId="32" applyNumberFormat="0" applyAlignment="0" applyProtection="0"/>
    <xf numFmtId="0" fontId="16" fillId="44" borderId="23" applyNumberFormat="0" applyAlignment="0" applyProtection="0"/>
    <xf numFmtId="0" fontId="63" fillId="10" borderId="23" applyNumberFormat="0" applyAlignment="0" applyProtection="0"/>
    <xf numFmtId="177" fontId="49" fillId="0" borderId="0" applyFill="0" applyBorder="0">
      <protection locked="0"/>
    </xf>
    <xf numFmtId="178" fontId="49" fillId="0" borderId="0" applyFill="0" applyBorder="0">
      <protection locked="0"/>
    </xf>
    <xf numFmtId="179" fontId="49" fillId="0" borderId="0" applyFill="0" applyBorder="0">
      <protection locked="0"/>
    </xf>
    <xf numFmtId="180" fontId="49" fillId="0" borderId="0" applyFill="0" applyBorder="0">
      <protection locked="0"/>
    </xf>
    <xf numFmtId="181" fontId="49" fillId="0" borderId="0" applyFill="0" applyBorder="0">
      <protection locked="0"/>
    </xf>
    <xf numFmtId="182" fontId="49" fillId="0" borderId="0" applyFill="0" applyBorder="0">
      <protection locked="0"/>
    </xf>
    <xf numFmtId="183" fontId="49" fillId="0" borderId="0" applyFill="0" applyBorder="0">
      <protection locked="0"/>
    </xf>
    <xf numFmtId="184" fontId="49" fillId="0" borderId="0" applyFill="0" applyBorder="0">
      <protection locked="0"/>
    </xf>
    <xf numFmtId="185" fontId="49" fillId="0" borderId="0" applyFill="0" applyBorder="0">
      <protection locked="0"/>
    </xf>
    <xf numFmtId="49" fontId="49" fillId="0" borderId="0" applyFill="0" applyBorder="0">
      <alignment horizontal="left" vertical="top"/>
      <protection locked="0"/>
    </xf>
    <xf numFmtId="49" fontId="49" fillId="0" borderId="0" applyFill="0" applyBorder="0">
      <alignment horizontal="left" vertical="top" indent="1"/>
      <protection locked="0"/>
    </xf>
    <xf numFmtId="49" fontId="49" fillId="0" borderId="0" applyFill="0" applyBorder="0">
      <alignment horizontal="left" vertical="top" indent="2"/>
      <protection locked="0"/>
    </xf>
    <xf numFmtId="49" fontId="49" fillId="0" borderId="0" applyFill="0" applyBorder="0">
      <alignment horizontal="left" vertical="top" indent="3"/>
      <protection locked="0"/>
    </xf>
    <xf numFmtId="49" fontId="49" fillId="0" borderId="0" applyFill="0" applyBorder="0">
      <alignment horizontal="left" vertical="top" indent="4"/>
      <protection locked="0"/>
    </xf>
    <xf numFmtId="49" fontId="49" fillId="0" borderId="0" applyFill="0" applyBorder="0">
      <alignment horizontal="center"/>
      <protection locked="0"/>
    </xf>
    <xf numFmtId="49" fontId="49" fillId="0" borderId="0" applyFill="0" applyBorder="0">
      <alignment horizontal="center" wrapText="1"/>
      <protection locked="0"/>
    </xf>
    <xf numFmtId="0" fontId="32" fillId="0" borderId="37" applyNumberFormat="0" applyFill="0" applyAlignment="0" applyProtection="0"/>
    <xf numFmtId="0" fontId="32" fillId="0" borderId="37" applyNumberFormat="0" applyFill="0" applyAlignment="0" applyProtection="0"/>
    <xf numFmtId="0" fontId="64" fillId="0" borderId="25" applyNumberFormat="0" applyFill="0" applyAlignment="0" applyProtection="0"/>
    <xf numFmtId="49" fontId="42" fillId="0" borderId="0" applyFill="0" applyBorder="0">
      <alignment vertical="top"/>
    </xf>
    <xf numFmtId="49" fontId="42" fillId="0" borderId="0" applyFill="0" applyBorder="0">
      <alignment vertical="top"/>
    </xf>
    <xf numFmtId="0" fontId="42" fillId="0" borderId="0" applyFill="0" applyBorder="0">
      <alignment vertical="top" wrapText="1"/>
    </xf>
    <xf numFmtId="0" fontId="42" fillId="0" borderId="0" applyFill="0" applyBorder="0">
      <alignment vertical="top" wrapText="1"/>
    </xf>
    <xf numFmtId="0" fontId="33" fillId="58" borderId="0" applyNumberFormat="0" applyBorder="0" applyAlignment="0" applyProtection="0"/>
    <xf numFmtId="0" fontId="65" fillId="9" borderId="0" applyNumberFormat="0" applyBorder="0" applyAlignment="0" applyProtection="0"/>
    <xf numFmtId="0" fontId="66" fillId="9" borderId="0" applyNumberFormat="0" applyBorder="0" applyAlignment="0" applyProtection="0"/>
    <xf numFmtId="0" fontId="4" fillId="0" borderId="0" applyBorder="0"/>
    <xf numFmtId="0" fontId="4" fillId="0" borderId="0" applyBorder="0"/>
    <xf numFmtId="0" fontId="4" fillId="0" borderId="0" applyBorder="0"/>
    <xf numFmtId="0" fontId="4" fillId="0" borderId="0" applyBorder="0"/>
    <xf numFmtId="0" fontId="4" fillId="0" borderId="0" applyBorder="0"/>
    <xf numFmtId="165" fontId="20" fillId="0" borderId="0"/>
    <xf numFmtId="0" fontId="4" fillId="0" borderId="0" applyBorder="0"/>
    <xf numFmtId="165" fontId="20" fillId="0" borderId="0"/>
    <xf numFmtId="165" fontId="20" fillId="0" borderId="0"/>
    <xf numFmtId="165" fontId="20" fillId="0" borderId="0"/>
    <xf numFmtId="165" fontId="1" fillId="0" borderId="0"/>
    <xf numFmtId="0" fontId="51" fillId="0" borderId="0"/>
    <xf numFmtId="0" fontId="4" fillId="0" borderId="0"/>
    <xf numFmtId="165" fontId="20" fillId="0" borderId="0"/>
    <xf numFmtId="0" fontId="4" fillId="0" borderId="0"/>
    <xf numFmtId="0" fontId="4" fillId="0" borderId="0"/>
    <xf numFmtId="0" fontId="4" fillId="0" borderId="0"/>
    <xf numFmtId="0" fontId="4" fillId="0" borderId="0"/>
    <xf numFmtId="165" fontId="1" fillId="0" borderId="0"/>
    <xf numFmtId="165" fontId="1" fillId="0" borderId="0"/>
    <xf numFmtId="0" fontId="45" fillId="0" borderId="0"/>
    <xf numFmtId="0" fontId="20" fillId="0" borderId="0"/>
    <xf numFmtId="169" fontId="20" fillId="0" borderId="0"/>
    <xf numFmtId="0" fontId="1" fillId="0" borderId="0"/>
    <xf numFmtId="0" fontId="4" fillId="0" borderId="0"/>
    <xf numFmtId="0" fontId="4" fillId="0" borderId="0"/>
    <xf numFmtId="0" fontId="4" fillId="0" borderId="0"/>
    <xf numFmtId="0" fontId="1" fillId="0" borderId="0"/>
    <xf numFmtId="165" fontId="20" fillId="0" borderId="0"/>
    <xf numFmtId="0" fontId="35" fillId="0" borderId="0"/>
    <xf numFmtId="169" fontId="35" fillId="0" borderId="0"/>
    <xf numFmtId="165" fontId="1" fillId="0" borderId="0"/>
    <xf numFmtId="0" fontId="4" fillId="0" borderId="0"/>
    <xf numFmtId="165" fontId="1" fillId="0" borderId="0"/>
    <xf numFmtId="165" fontId="20" fillId="0" borderId="0"/>
    <xf numFmtId="165" fontId="1" fillId="0" borderId="0"/>
    <xf numFmtId="0" fontId="4" fillId="0" borderId="0" applyBorder="0"/>
    <xf numFmtId="169" fontId="4" fillId="0" borderId="0" applyBorder="0"/>
    <xf numFmtId="0" fontId="4" fillId="0" borderId="0"/>
    <xf numFmtId="169" fontId="4" fillId="0" borderId="0"/>
    <xf numFmtId="0" fontId="4" fillId="0" borderId="0"/>
    <xf numFmtId="0" fontId="44" fillId="0" borderId="0"/>
    <xf numFmtId="0" fontId="44" fillId="0" borderId="0"/>
    <xf numFmtId="0" fontId="4" fillId="0" borderId="0" applyBorder="0"/>
    <xf numFmtId="0" fontId="35" fillId="0" borderId="0"/>
    <xf numFmtId="0" fontId="1" fillId="0" borderId="0"/>
    <xf numFmtId="0" fontId="4" fillId="0" borderId="0" applyBorder="0"/>
    <xf numFmtId="0" fontId="4" fillId="0" borderId="0"/>
    <xf numFmtId="0" fontId="4" fillId="59" borderId="38" applyNumberFormat="0" applyFont="0" applyAlignment="0" applyProtection="0"/>
    <xf numFmtId="0" fontId="20" fillId="13" borderId="27" applyNumberFormat="0" applyFont="0" applyAlignment="0" applyProtection="0"/>
    <xf numFmtId="0" fontId="47" fillId="13" borderId="27" applyNumberFormat="0" applyFont="0" applyAlignment="0" applyProtection="0"/>
    <xf numFmtId="0" fontId="34" fillId="44" borderId="39" applyNumberFormat="0" applyAlignment="0" applyProtection="0"/>
    <xf numFmtId="0" fontId="17" fillId="44" borderId="24" applyNumberFormat="0" applyAlignment="0" applyProtection="0"/>
    <xf numFmtId="0" fontId="67" fillId="11" borderId="24" applyNumberForma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47" fillId="0" borderId="0" applyFont="0" applyFill="0" applyBorder="0" applyAlignment="0" applyProtection="0"/>
    <xf numFmtId="0" fontId="43" fillId="0" borderId="0" applyFill="0" applyBorder="0">
      <alignment vertical="top"/>
    </xf>
    <xf numFmtId="0" fontId="43" fillId="0" borderId="0" applyFill="0" applyBorder="0">
      <alignment vertical="top"/>
    </xf>
    <xf numFmtId="0" fontId="43" fillId="0" borderId="0" applyFill="0" applyBorder="0">
      <alignment horizontal="left" vertical="top" indent="1"/>
    </xf>
    <xf numFmtId="0" fontId="43" fillId="0" borderId="0" applyFill="0" applyBorder="0">
      <alignment horizontal="left" vertical="top" indent="1"/>
    </xf>
    <xf numFmtId="0" fontId="43" fillId="0" borderId="0" applyFill="0" applyBorder="0">
      <alignment horizontal="left" vertical="top" indent="2"/>
    </xf>
    <xf numFmtId="0" fontId="43" fillId="0" borderId="0" applyFill="0" applyBorder="0">
      <alignment horizontal="left" vertical="top" indent="2"/>
    </xf>
    <xf numFmtId="0" fontId="43" fillId="0" borderId="0" applyFill="0" applyBorder="0">
      <alignment horizontal="left" vertical="top" indent="3"/>
    </xf>
    <xf numFmtId="0" fontId="43" fillId="0" borderId="0" applyFill="0" applyBorder="0">
      <alignment horizontal="left" vertical="top" indent="3"/>
    </xf>
    <xf numFmtId="0" fontId="42" fillId="0" borderId="0" applyFill="0" applyBorder="0">
      <alignment vertical="top"/>
    </xf>
    <xf numFmtId="0" fontId="42" fillId="0" borderId="0" applyFill="0" applyBorder="0">
      <alignment vertical="top"/>
    </xf>
    <xf numFmtId="0" fontId="42" fillId="0" borderId="0" applyFill="0" applyBorder="0">
      <alignment horizontal="left" vertical="top" indent="1"/>
    </xf>
    <xf numFmtId="0" fontId="42" fillId="0" borderId="0" applyFill="0" applyBorder="0">
      <alignment horizontal="left" vertical="top" indent="1"/>
    </xf>
    <xf numFmtId="0" fontId="42" fillId="0" borderId="0" applyFill="0" applyBorder="0">
      <alignment horizontal="left" vertical="top" indent="2"/>
    </xf>
    <xf numFmtId="0" fontId="42" fillId="0" borderId="0" applyFill="0" applyBorder="0">
      <alignment horizontal="left" vertical="top" indent="2"/>
    </xf>
    <xf numFmtId="0" fontId="42" fillId="0" borderId="0" applyFill="0" applyBorder="0">
      <alignment horizontal="left" vertical="top" indent="3"/>
    </xf>
    <xf numFmtId="0" fontId="42" fillId="0" borderId="0" applyFill="0" applyBorder="0">
      <alignment horizontal="left" vertical="top" indent="3"/>
    </xf>
    <xf numFmtId="0" fontId="42" fillId="0" borderId="0" applyFill="0" applyBorder="0">
      <alignment horizontal="left" vertical="top" indent="4"/>
    </xf>
    <xf numFmtId="0" fontId="42" fillId="0" borderId="0" applyFill="0" applyBorder="0">
      <alignment horizontal="left" vertical="top" indent="4"/>
    </xf>
    <xf numFmtId="43" fontId="35" fillId="0" borderId="40" applyFont="0" applyAlignment="0">
      <alignment vertical="top" wrapText="1"/>
    </xf>
    <xf numFmtId="164" fontId="35" fillId="0" borderId="40" applyFont="0" applyAlignment="0">
      <alignment vertical="top" wrapText="1"/>
    </xf>
    <xf numFmtId="0" fontId="36" fillId="0" borderId="0" applyNumberFormat="0" applyFill="0" applyBorder="0" applyAlignment="0" applyProtection="0"/>
    <xf numFmtId="0" fontId="36" fillId="0" borderId="0" applyNumberFormat="0" applyFill="0" applyBorder="0" applyAlignment="0" applyProtection="0"/>
    <xf numFmtId="0" fontId="13" fillId="0" borderId="0" applyNumberFormat="0" applyFill="0" applyBorder="0" applyAlignment="0" applyProtection="0"/>
    <xf numFmtId="0" fontId="37" fillId="0" borderId="41" applyNumberFormat="0" applyFill="0" applyAlignment="0" applyProtection="0"/>
    <xf numFmtId="0" fontId="2" fillId="0" borderId="41" applyNumberFormat="0" applyFill="0" applyAlignment="0" applyProtection="0"/>
    <xf numFmtId="0" fontId="68" fillId="0" borderId="28" applyNumberFormat="0" applyFill="0" applyAlignment="0" applyProtection="0"/>
    <xf numFmtId="0" fontId="42" fillId="0" borderId="0" applyFill="0" applyBorder="0">
      <alignment horizontal="center"/>
    </xf>
    <xf numFmtId="0" fontId="42" fillId="0" borderId="0" applyFill="0" applyBorder="0">
      <alignment horizontal="center"/>
    </xf>
    <xf numFmtId="0" fontId="42" fillId="0" borderId="0" applyFill="0" applyBorder="0">
      <alignment horizontal="center" wrapText="1"/>
    </xf>
    <xf numFmtId="0" fontId="42" fillId="0" borderId="0" applyFill="0" applyBorder="0">
      <alignment horizontal="center" wrapText="1"/>
    </xf>
    <xf numFmtId="0" fontId="38" fillId="0" borderId="0" applyNumberFormat="0" applyFill="0" applyBorder="0" applyAlignment="0" applyProtection="0"/>
    <xf numFmtId="0" fontId="69" fillId="0" borderId="0" applyNumberFormat="0" applyFill="0" applyBorder="0" applyAlignment="0" applyProtection="0"/>
  </cellStyleXfs>
  <cellXfs count="312">
    <xf numFmtId="0" fontId="0" fillId="0" borderId="0" xfId="0"/>
    <xf numFmtId="164" fontId="0" fillId="0" borderId="0" xfId="0" applyNumberFormat="1"/>
    <xf numFmtId="0" fontId="0" fillId="0" borderId="0" xfId="0" applyBorder="1"/>
    <xf numFmtId="0" fontId="0" fillId="0" borderId="6" xfId="0" applyBorder="1"/>
    <xf numFmtId="164" fontId="0" fillId="0" borderId="0" xfId="1" applyFont="1" applyBorder="1"/>
    <xf numFmtId="164" fontId="0" fillId="0" borderId="0" xfId="1" applyFont="1" applyFill="1" applyBorder="1"/>
    <xf numFmtId="43" fontId="0" fillId="0" borderId="0" xfId="0" applyNumberFormat="1"/>
    <xf numFmtId="0" fontId="0" fillId="0" borderId="0" xfId="0" applyBorder="1" applyAlignment="1">
      <alignment horizontal="left"/>
    </xf>
    <xf numFmtId="0" fontId="0" fillId="0" borderId="0" xfId="0" applyBorder="1" applyAlignment="1">
      <alignment horizontal="right"/>
    </xf>
    <xf numFmtId="0" fontId="2" fillId="0" borderId="5" xfId="0" applyFont="1" applyBorder="1"/>
    <xf numFmtId="43" fontId="1" fillId="0" borderId="3" xfId="4" applyFont="1" applyBorder="1"/>
    <xf numFmtId="43" fontId="1" fillId="0" borderId="4" xfId="4" applyFont="1" applyBorder="1"/>
    <xf numFmtId="43" fontId="1" fillId="0" borderId="0" xfId="4" applyFont="1"/>
    <xf numFmtId="43" fontId="1" fillId="0" borderId="0" xfId="4" applyFont="1" applyBorder="1"/>
    <xf numFmtId="43" fontId="1" fillId="0" borderId="6" xfId="4" applyFont="1" applyBorder="1"/>
    <xf numFmtId="43" fontId="1" fillId="0" borderId="8" xfId="4" applyFont="1" applyBorder="1"/>
    <xf numFmtId="43" fontId="1" fillId="0" borderId="9" xfId="4" applyFont="1" applyBorder="1"/>
    <xf numFmtId="43" fontId="1" fillId="0" borderId="3" xfId="4" applyFont="1" applyFill="1" applyBorder="1"/>
    <xf numFmtId="43" fontId="1" fillId="0" borderId="0" xfId="4" applyFont="1" applyFill="1" applyBorder="1"/>
    <xf numFmtId="43" fontId="1" fillId="0" borderId="6" xfId="4" applyFont="1" applyFill="1" applyBorder="1"/>
    <xf numFmtId="43" fontId="1" fillId="0" borderId="3" xfId="3" applyNumberFormat="1" applyFont="1" applyBorder="1"/>
    <xf numFmtId="43" fontId="1" fillId="0" borderId="4" xfId="3" applyNumberFormat="1" applyFont="1" applyBorder="1"/>
    <xf numFmtId="0" fontId="5" fillId="0" borderId="0" xfId="2" applyFont="1"/>
    <xf numFmtId="0" fontId="6" fillId="0" borderId="0" xfId="2" applyFont="1"/>
    <xf numFmtId="0" fontId="5" fillId="0" borderId="0" xfId="2" applyFont="1" applyFill="1"/>
    <xf numFmtId="43" fontId="5" fillId="0" borderId="0" xfId="2" applyNumberFormat="1" applyFont="1" applyFill="1" applyBorder="1"/>
    <xf numFmtId="43" fontId="5" fillId="0" borderId="0" xfId="2" applyNumberFormat="1" applyFont="1" applyBorder="1"/>
    <xf numFmtId="43" fontId="5" fillId="0" borderId="6" xfId="2" applyNumberFormat="1" applyFont="1" applyBorder="1"/>
    <xf numFmtId="43" fontId="5" fillId="0" borderId="0" xfId="2" applyNumberFormat="1" applyFont="1"/>
    <xf numFmtId="164" fontId="0" fillId="0" borderId="0" xfId="0" applyNumberFormat="1" applyBorder="1"/>
    <xf numFmtId="0" fontId="0" fillId="0" borderId="0" xfId="0"/>
    <xf numFmtId="0" fontId="0" fillId="0" borderId="3" xfId="0" applyBorder="1"/>
    <xf numFmtId="0" fontId="0" fillId="0" borderId="4" xfId="0" applyBorder="1"/>
    <xf numFmtId="0" fontId="0" fillId="0" borderId="0" xfId="0" applyBorder="1"/>
    <xf numFmtId="0" fontId="0" fillId="0" borderId="6" xfId="0" applyBorder="1"/>
    <xf numFmtId="0" fontId="0" fillId="0" borderId="5" xfId="0" applyBorder="1"/>
    <xf numFmtId="164" fontId="0" fillId="0" borderId="0" xfId="1" applyFont="1" applyBorder="1"/>
    <xf numFmtId="0" fontId="0" fillId="0" borderId="7" xfId="0" applyBorder="1"/>
    <xf numFmtId="0" fontId="0" fillId="0" borderId="8" xfId="0" applyBorder="1"/>
    <xf numFmtId="0" fontId="0" fillId="0" borderId="9" xfId="0" applyBorder="1"/>
    <xf numFmtId="164" fontId="0" fillId="0" borderId="8" xfId="0" applyNumberFormat="1" applyBorder="1"/>
    <xf numFmtId="43" fontId="0" fillId="0" borderId="0" xfId="0" applyNumberFormat="1" applyBorder="1"/>
    <xf numFmtId="164" fontId="1" fillId="0" borderId="0" xfId="1" applyFont="1" applyBorder="1"/>
    <xf numFmtId="0" fontId="2" fillId="0" borderId="0" xfId="0" applyFont="1" applyBorder="1" applyAlignment="1">
      <alignment horizontal="left"/>
    </xf>
    <xf numFmtId="0" fontId="5" fillId="0" borderId="0" xfId="2" applyFont="1" applyBorder="1"/>
    <xf numFmtId="43" fontId="5" fillId="0" borderId="0" xfId="2" applyNumberFormat="1" applyFont="1" applyFill="1"/>
    <xf numFmtId="165" fontId="1" fillId="4" borderId="14" xfId="3" applyNumberFormat="1" applyFont="1" applyFill="1" applyBorder="1"/>
    <xf numFmtId="165" fontId="1" fillId="4" borderId="12" xfId="3" applyNumberFormat="1" applyFont="1" applyFill="1" applyBorder="1"/>
    <xf numFmtId="0" fontId="5" fillId="0" borderId="0" xfId="2" applyFont="1" applyFill="1" applyBorder="1"/>
    <xf numFmtId="164" fontId="1" fillId="0" borderId="0" xfId="1" applyFont="1" applyFill="1" applyBorder="1"/>
    <xf numFmtId="164" fontId="5" fillId="0" borderId="0" xfId="1" applyFont="1" applyBorder="1"/>
    <xf numFmtId="164" fontId="5" fillId="0" borderId="6" xfId="1" applyFont="1" applyBorder="1"/>
    <xf numFmtId="43" fontId="5" fillId="0" borderId="16" xfId="2" applyNumberFormat="1" applyFont="1" applyBorder="1"/>
    <xf numFmtId="43" fontId="5" fillId="0" borderId="17" xfId="2" applyNumberFormat="1" applyFont="1" applyFill="1" applyBorder="1"/>
    <xf numFmtId="43" fontId="5" fillId="0" borderId="18" xfId="2" applyNumberFormat="1" applyFont="1" applyFill="1" applyBorder="1"/>
    <xf numFmtId="168" fontId="0" fillId="0" borderId="0" xfId="1" applyNumberFormat="1" applyFont="1" applyBorder="1"/>
    <xf numFmtId="0" fontId="7" fillId="5" borderId="8" xfId="2" applyFont="1" applyFill="1" applyBorder="1"/>
    <xf numFmtId="0" fontId="5" fillId="5" borderId="8" xfId="2" applyFont="1" applyFill="1" applyBorder="1"/>
    <xf numFmtId="0" fontId="5" fillId="5" borderId="0" xfId="2" applyFont="1" applyFill="1" applyBorder="1"/>
    <xf numFmtId="167" fontId="5" fillId="5" borderId="8" xfId="2" applyNumberFormat="1" applyFont="1" applyFill="1" applyBorder="1"/>
    <xf numFmtId="0" fontId="6" fillId="5" borderId="0" xfId="2" applyFont="1" applyFill="1" applyBorder="1" applyAlignment="1">
      <alignment horizontal="center"/>
    </xf>
    <xf numFmtId="0" fontId="2" fillId="2" borderId="0" xfId="0" applyFont="1" applyFill="1" applyBorder="1" applyAlignment="1">
      <alignment horizontal="center"/>
    </xf>
    <xf numFmtId="0" fontId="0" fillId="0" borderId="0" xfId="0" applyFont="1"/>
    <xf numFmtId="164" fontId="0" fillId="0" borderId="11" xfId="1" applyFont="1" applyBorder="1"/>
    <xf numFmtId="166" fontId="0" fillId="0" borderId="0" xfId="1" applyNumberFormat="1" applyFont="1" applyBorder="1"/>
    <xf numFmtId="168" fontId="0" fillId="0" borderId="0" xfId="0" applyNumberFormat="1"/>
    <xf numFmtId="164" fontId="0" fillId="0" borderId="0" xfId="1" applyFont="1"/>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164" fontId="0" fillId="0" borderId="5" xfId="1" applyNumberFormat="1" applyFont="1" applyBorder="1"/>
    <xf numFmtId="0" fontId="0" fillId="0" borderId="0" xfId="0" applyFill="1" applyBorder="1"/>
    <xf numFmtId="0" fontId="2" fillId="5" borderId="0" xfId="0" applyFont="1" applyFill="1" applyBorder="1"/>
    <xf numFmtId="0" fontId="0" fillId="5" borderId="0" xfId="0" applyFill="1" applyBorder="1"/>
    <xf numFmtId="0" fontId="12" fillId="5" borderId="0" xfId="0" applyFont="1" applyFill="1" applyBorder="1"/>
    <xf numFmtId="43" fontId="5" fillId="0" borderId="19" xfId="2" applyNumberFormat="1" applyFont="1" applyBorder="1"/>
    <xf numFmtId="0" fontId="2" fillId="0" borderId="3" xfId="0" applyFont="1" applyBorder="1" applyAlignment="1">
      <alignment horizontal="center"/>
    </xf>
    <xf numFmtId="43" fontId="6" fillId="0" borderId="0" xfId="2" applyNumberFormat="1" applyFont="1"/>
    <xf numFmtId="0" fontId="0" fillId="5" borderId="0" xfId="0" applyFill="1"/>
    <xf numFmtId="0" fontId="2" fillId="5" borderId="3" xfId="0" applyFont="1" applyFill="1" applyBorder="1" applyAlignment="1">
      <alignment horizontal="center"/>
    </xf>
    <xf numFmtId="0" fontId="2" fillId="0" borderId="0" xfId="0" applyFont="1" applyAlignment="1">
      <alignment horizontal="center"/>
    </xf>
    <xf numFmtId="164" fontId="0" fillId="0" borderId="3" xfId="0" applyNumberFormat="1" applyBorder="1"/>
    <xf numFmtId="164" fontId="2" fillId="0" borderId="10" xfId="0" applyNumberFormat="1" applyFont="1" applyBorder="1"/>
    <xf numFmtId="164" fontId="2" fillId="0" borderId="0" xfId="0" applyNumberFormat="1" applyFont="1" applyBorder="1"/>
    <xf numFmtId="0" fontId="46" fillId="0" borderId="0" xfId="2" applyFont="1"/>
    <xf numFmtId="0" fontId="2" fillId="0" borderId="0" xfId="0" applyFont="1" applyAlignment="1">
      <alignment horizontal="center" vertical="top"/>
    </xf>
    <xf numFmtId="0" fontId="30" fillId="0" borderId="0" xfId="195" quotePrefix="1" applyNumberFormat="1" applyAlignment="1" applyProtection="1"/>
    <xf numFmtId="0" fontId="0" fillId="0" borderId="0" xfId="0" applyAlignment="1">
      <alignment horizontal="left" vertical="top"/>
    </xf>
    <xf numFmtId="0" fontId="70" fillId="0" borderId="0" xfId="0" applyFont="1"/>
    <xf numFmtId="0" fontId="2" fillId="5" borderId="0" xfId="0" applyFont="1" applyFill="1" applyAlignment="1">
      <alignment horizontal="center" vertical="top"/>
    </xf>
    <xf numFmtId="43" fontId="1" fillId="0" borderId="11" xfId="4" applyFont="1" applyBorder="1"/>
    <xf numFmtId="0" fontId="5" fillId="0" borderId="0" xfId="2" quotePrefix="1" applyFont="1"/>
    <xf numFmtId="0" fontId="6" fillId="5" borderId="8" xfId="2" applyFont="1" applyFill="1" applyBorder="1"/>
    <xf numFmtId="0" fontId="6" fillId="5" borderId="8" xfId="2" applyFont="1" applyFill="1" applyBorder="1" applyAlignment="1">
      <alignment horizontal="right"/>
    </xf>
    <xf numFmtId="6" fontId="6" fillId="5" borderId="8" xfId="2" quotePrefix="1" applyNumberFormat="1" applyFont="1" applyFill="1" applyBorder="1" applyAlignment="1">
      <alignment horizontal="center"/>
    </xf>
    <xf numFmtId="43" fontId="5" fillId="0" borderId="3" xfId="2" applyNumberFormat="1" applyFont="1" applyFill="1" applyBorder="1"/>
    <xf numFmtId="0" fontId="71" fillId="0" borderId="0" xfId="2" applyFont="1" applyBorder="1" applyAlignment="1">
      <alignment vertical="center"/>
    </xf>
    <xf numFmtId="14" fontId="2" fillId="0" borderId="0" xfId="0" applyNumberFormat="1" applyFont="1" applyBorder="1" applyAlignment="1">
      <alignment horizontal="left"/>
    </xf>
    <xf numFmtId="0" fontId="2" fillId="0" borderId="6" xfId="0" applyFont="1" applyBorder="1" applyAlignment="1"/>
    <xf numFmtId="0" fontId="2" fillId="5" borderId="42" xfId="0" applyFont="1" applyFill="1" applyBorder="1"/>
    <xf numFmtId="0" fontId="2" fillId="5" borderId="17" xfId="0" applyFont="1" applyFill="1" applyBorder="1" applyAlignment="1">
      <alignment horizontal="center"/>
    </xf>
    <xf numFmtId="0" fontId="2" fillId="5" borderId="47" xfId="0" applyFont="1" applyFill="1" applyBorder="1"/>
    <xf numFmtId="0" fontId="0" fillId="61" borderId="44" xfId="0" applyFont="1" applyFill="1" applyBorder="1"/>
    <xf numFmtId="164" fontId="0" fillId="61" borderId="0" xfId="1" applyFont="1" applyFill="1" applyBorder="1"/>
    <xf numFmtId="164" fontId="0" fillId="61" borderId="45" xfId="1" applyFont="1" applyFill="1" applyBorder="1"/>
    <xf numFmtId="0" fontId="0" fillId="61" borderId="0" xfId="0" applyFill="1" applyBorder="1"/>
    <xf numFmtId="0" fontId="0" fillId="61" borderId="45" xfId="0" applyFill="1" applyBorder="1"/>
    <xf numFmtId="164" fontId="0" fillId="61" borderId="0" xfId="0" applyNumberFormat="1" applyFill="1" applyBorder="1"/>
    <xf numFmtId="164" fontId="0" fillId="61" borderId="0" xfId="1" applyNumberFormat="1" applyFont="1" applyFill="1" applyBorder="1"/>
    <xf numFmtId="164" fontId="0" fillId="61" borderId="44" xfId="1" applyNumberFormat="1" applyFont="1" applyFill="1" applyBorder="1"/>
    <xf numFmtId="0" fontId="0" fillId="61" borderId="0" xfId="0" applyFont="1" applyFill="1" applyBorder="1"/>
    <xf numFmtId="164" fontId="2" fillId="61" borderId="0" xfId="1" applyFont="1" applyFill="1" applyBorder="1"/>
    <xf numFmtId="164" fontId="0" fillId="61" borderId="44" xfId="1" applyFont="1" applyFill="1" applyBorder="1"/>
    <xf numFmtId="0" fontId="11" fillId="61" borderId="46" xfId="0" applyFont="1" applyFill="1" applyBorder="1"/>
    <xf numFmtId="164" fontId="11" fillId="61" borderId="8" xfId="1" applyFont="1" applyFill="1" applyBorder="1"/>
    <xf numFmtId="164" fontId="11" fillId="61" borderId="51" xfId="1" applyFont="1" applyFill="1" applyBorder="1"/>
    <xf numFmtId="164" fontId="0" fillId="61" borderId="11" xfId="1" applyFont="1" applyFill="1" applyBorder="1"/>
    <xf numFmtId="0" fontId="0" fillId="61" borderId="44" xfId="0" applyFill="1" applyBorder="1"/>
    <xf numFmtId="2" fontId="0" fillId="61" borderId="44" xfId="0" applyNumberFormat="1" applyFill="1" applyBorder="1"/>
    <xf numFmtId="0" fontId="2" fillId="61" borderId="49" xfId="0" applyFont="1" applyFill="1" applyBorder="1"/>
    <xf numFmtId="0" fontId="2" fillId="61" borderId="19" xfId="0" applyFont="1" applyFill="1" applyBorder="1" applyAlignment="1">
      <alignment horizontal="center"/>
    </xf>
    <xf numFmtId="0" fontId="0" fillId="61" borderId="50" xfId="0" applyFill="1" applyBorder="1"/>
    <xf numFmtId="0" fontId="0" fillId="61" borderId="19" xfId="0" applyFill="1" applyBorder="1"/>
    <xf numFmtId="0" fontId="2" fillId="61" borderId="0" xfId="0" applyFont="1" applyFill="1" applyBorder="1" applyAlignment="1">
      <alignment horizontal="center"/>
    </xf>
    <xf numFmtId="0" fontId="2" fillId="61" borderId="6" xfId="0" applyFont="1" applyFill="1" applyBorder="1" applyAlignment="1">
      <alignment horizontal="center"/>
    </xf>
    <xf numFmtId="0" fontId="2" fillId="61" borderId="0" xfId="0" applyFont="1" applyFill="1" applyBorder="1"/>
    <xf numFmtId="14" fontId="0" fillId="61" borderId="0" xfId="0" applyNumberFormat="1" applyFill="1" applyBorder="1" applyAlignment="1">
      <alignment horizontal="right"/>
    </xf>
    <xf numFmtId="164" fontId="0" fillId="61" borderId="6" xfId="1" applyNumberFormat="1" applyFont="1" applyFill="1" applyBorder="1"/>
    <xf numFmtId="168" fontId="0" fillId="61" borderId="0" xfId="1" applyNumberFormat="1" applyFont="1" applyFill="1" applyBorder="1"/>
    <xf numFmtId="0" fontId="0" fillId="61" borderId="0" xfId="0" applyFont="1" applyFill="1" applyBorder="1" applyAlignment="1">
      <alignment horizontal="right"/>
    </xf>
    <xf numFmtId="0" fontId="0" fillId="61" borderId="0" xfId="0" applyFill="1" applyBorder="1" applyAlignment="1">
      <alignment horizontal="right"/>
    </xf>
    <xf numFmtId="0" fontId="0" fillId="61" borderId="6" xfId="0" applyFill="1" applyBorder="1"/>
    <xf numFmtId="164" fontId="0" fillId="61" borderId="11" xfId="1" applyNumberFormat="1" applyFont="1" applyFill="1" applyBorder="1"/>
    <xf numFmtId="164" fontId="0" fillId="61" borderId="15" xfId="1" applyNumberFormat="1" applyFont="1" applyFill="1" applyBorder="1"/>
    <xf numFmtId="0" fontId="0" fillId="61" borderId="8" xfId="0" applyFill="1" applyBorder="1"/>
    <xf numFmtId="164" fontId="0" fillId="61" borderId="8" xfId="1" applyNumberFormat="1" applyFont="1" applyFill="1" applyBorder="1"/>
    <xf numFmtId="164" fontId="0" fillId="61" borderId="9" xfId="1" applyNumberFormat="1" applyFont="1" applyFill="1" applyBorder="1"/>
    <xf numFmtId="0" fontId="2" fillId="61" borderId="0" xfId="0" quotePrefix="1" applyFont="1" applyFill="1" applyBorder="1"/>
    <xf numFmtId="164" fontId="0" fillId="61" borderId="15" xfId="1" applyNumberFormat="1" applyFont="1" applyFill="1" applyBorder="1" applyAlignment="1">
      <alignment horizontal="right"/>
    </xf>
    <xf numFmtId="0" fontId="2" fillId="61" borderId="5" xfId="0" applyFont="1" applyFill="1" applyBorder="1" applyAlignment="1">
      <alignment horizontal="center"/>
    </xf>
    <xf numFmtId="164" fontId="0" fillId="61" borderId="5" xfId="1" applyNumberFormat="1" applyFont="1" applyFill="1" applyBorder="1"/>
    <xf numFmtId="164" fontId="0" fillId="61" borderId="5" xfId="0" applyNumberFormat="1" applyFill="1" applyBorder="1"/>
    <xf numFmtId="168" fontId="0" fillId="61" borderId="5" xfId="0" applyNumberFormat="1" applyFill="1" applyBorder="1"/>
    <xf numFmtId="166" fontId="0" fillId="61" borderId="0" xfId="1" applyNumberFormat="1" applyFont="1" applyFill="1" applyBorder="1"/>
    <xf numFmtId="168" fontId="0" fillId="61" borderId="7" xfId="0" applyNumberFormat="1" applyFill="1" applyBorder="1"/>
    <xf numFmtId="166" fontId="0" fillId="61" borderId="8" xfId="1" applyNumberFormat="1" applyFont="1" applyFill="1" applyBorder="1"/>
    <xf numFmtId="168" fontId="0" fillId="61" borderId="8" xfId="1" applyNumberFormat="1" applyFont="1" applyFill="1" applyBorder="1"/>
    <xf numFmtId="164" fontId="5" fillId="0" borderId="0" xfId="1" applyFont="1"/>
    <xf numFmtId="0" fontId="2" fillId="5" borderId="17" xfId="0" applyFont="1" applyFill="1" applyBorder="1"/>
    <xf numFmtId="43" fontId="6" fillId="0" borderId="0" xfId="2" applyNumberFormat="1" applyFont="1" applyBorder="1"/>
    <xf numFmtId="0" fontId="12" fillId="5" borderId="42" xfId="0" applyFont="1" applyFill="1" applyBorder="1"/>
    <xf numFmtId="0" fontId="0" fillId="5" borderId="17" xfId="0" applyFill="1" applyBorder="1"/>
    <xf numFmtId="0" fontId="2" fillId="2" borderId="18" xfId="0" applyFont="1" applyFill="1" applyBorder="1" applyAlignment="1">
      <alignment horizontal="center"/>
    </xf>
    <xf numFmtId="0" fontId="0" fillId="2" borderId="43" xfId="0" applyFill="1" applyBorder="1"/>
    <xf numFmtId="0" fontId="2" fillId="61" borderId="45" xfId="0" applyFont="1" applyFill="1" applyBorder="1" applyAlignment="1">
      <alignment horizontal="center"/>
    </xf>
    <xf numFmtId="0" fontId="2" fillId="61" borderId="44" xfId="0" applyFont="1" applyFill="1" applyBorder="1"/>
    <xf numFmtId="168" fontId="0" fillId="61" borderId="45" xfId="1" applyNumberFormat="1" applyFont="1" applyFill="1" applyBorder="1"/>
    <xf numFmtId="0" fontId="2" fillId="61" borderId="44" xfId="0" applyFont="1" applyFill="1" applyBorder="1" applyAlignment="1">
      <alignment horizontal="left"/>
    </xf>
    <xf numFmtId="0" fontId="0" fillId="61" borderId="44" xfId="0" applyFill="1" applyBorder="1" applyAlignment="1">
      <alignment horizontal="right"/>
    </xf>
    <xf numFmtId="0" fontId="0" fillId="61" borderId="46" xfId="0" applyFill="1" applyBorder="1"/>
    <xf numFmtId="0" fontId="0" fillId="61" borderId="51" xfId="0" applyFill="1" applyBorder="1"/>
    <xf numFmtId="0" fontId="0" fillId="61" borderId="44" xfId="0" applyFill="1" applyBorder="1" applyAlignment="1">
      <alignment horizontal="left"/>
    </xf>
    <xf numFmtId="0" fontId="0" fillId="61" borderId="49" xfId="0" applyFill="1" applyBorder="1"/>
    <xf numFmtId="0" fontId="0" fillId="61" borderId="16" xfId="0" applyFill="1" applyBorder="1"/>
    <xf numFmtId="164" fontId="2" fillId="5" borderId="0" xfId="1" applyFont="1" applyFill="1" applyBorder="1"/>
    <xf numFmtId="0" fontId="0" fillId="5" borderId="0" xfId="0" applyFont="1" applyFill="1" applyBorder="1"/>
    <xf numFmtId="0" fontId="2" fillId="5" borderId="0" xfId="0" applyFont="1" applyFill="1"/>
    <xf numFmtId="0" fontId="11" fillId="5" borderId="8" xfId="0" applyFont="1" applyFill="1" applyBorder="1"/>
    <xf numFmtId="0" fontId="11" fillId="5" borderId="51" xfId="0" applyFont="1" applyFill="1" applyBorder="1"/>
    <xf numFmtId="43" fontId="0" fillId="5" borderId="0" xfId="0" applyNumberFormat="1" applyFill="1"/>
    <xf numFmtId="0" fontId="0" fillId="5" borderId="19" xfId="0" applyFill="1" applyBorder="1"/>
    <xf numFmtId="0" fontId="0" fillId="5" borderId="50" xfId="0" applyFill="1" applyBorder="1"/>
    <xf numFmtId="2" fontId="0" fillId="5" borderId="46" xfId="0" applyNumberFormat="1" applyFill="1" applyBorder="1"/>
    <xf numFmtId="0" fontId="2" fillId="5" borderId="8" xfId="0" applyFont="1" applyFill="1" applyBorder="1"/>
    <xf numFmtId="0" fontId="2" fillId="5" borderId="8" xfId="0" applyFont="1" applyFill="1" applyBorder="1" applyAlignment="1">
      <alignment horizontal="center"/>
    </xf>
    <xf numFmtId="0" fontId="0" fillId="5" borderId="51" xfId="0" applyFill="1" applyBorder="1"/>
    <xf numFmtId="0" fontId="0" fillId="5" borderId="8" xfId="0" applyFill="1" applyBorder="1"/>
    <xf numFmtId="0" fontId="0" fillId="5" borderId="46" xfId="0" applyFill="1" applyBorder="1"/>
    <xf numFmtId="0" fontId="2" fillId="6" borderId="29" xfId="0" applyFont="1" applyFill="1" applyBorder="1" applyAlignment="1">
      <alignment horizontal="center"/>
    </xf>
    <xf numFmtId="0" fontId="2" fillId="6" borderId="30" xfId="0" applyFont="1" applyFill="1" applyBorder="1" applyAlignment="1">
      <alignment horizontal="center"/>
    </xf>
    <xf numFmtId="168" fontId="2" fillId="6" borderId="30" xfId="1" applyNumberFormat="1" applyFont="1" applyFill="1" applyBorder="1" applyAlignment="1">
      <alignment horizontal="center"/>
    </xf>
    <xf numFmtId="164" fontId="2" fillId="6" borderId="30" xfId="1" applyNumberFormat="1" applyFont="1" applyFill="1" applyBorder="1"/>
    <xf numFmtId="0" fontId="0" fillId="6" borderId="30" xfId="0" applyFill="1" applyBorder="1"/>
    <xf numFmtId="164" fontId="0" fillId="6" borderId="30" xfId="1" applyFont="1" applyFill="1" applyBorder="1"/>
    <xf numFmtId="164" fontId="2" fillId="6" borderId="1" xfId="1" applyNumberFormat="1" applyFont="1" applyFill="1" applyBorder="1"/>
    <xf numFmtId="164" fontId="0" fillId="6" borderId="30" xfId="1" applyNumberFormat="1" applyFont="1" applyFill="1" applyBorder="1"/>
    <xf numFmtId="164" fontId="2" fillId="6" borderId="1" xfId="0" applyNumberFormat="1" applyFont="1" applyFill="1" applyBorder="1"/>
    <xf numFmtId="0" fontId="0" fillId="0" borderId="0" xfId="0" applyAlignment="1">
      <alignment horizontal="center"/>
    </xf>
    <xf numFmtId="0" fontId="3" fillId="5" borderId="43" xfId="0" quotePrefix="1" applyFont="1" applyFill="1" applyBorder="1" applyAlignment="1">
      <alignment horizontal="left"/>
    </xf>
    <xf numFmtId="0" fontId="3" fillId="5" borderId="51" xfId="0" applyFont="1" applyFill="1" applyBorder="1" applyAlignment="1">
      <alignment horizontal="left"/>
    </xf>
    <xf numFmtId="0" fontId="0" fillId="61" borderId="45" xfId="0" applyFont="1" applyFill="1" applyBorder="1"/>
    <xf numFmtId="0" fontId="3" fillId="5" borderId="48" xfId="0" quotePrefix="1" applyFont="1" applyFill="1" applyBorder="1"/>
    <xf numFmtId="0" fontId="3" fillId="5" borderId="51" xfId="0" applyFont="1" applyFill="1" applyBorder="1"/>
    <xf numFmtId="0" fontId="3" fillId="61" borderId="50" xfId="0" quotePrefix="1" applyFont="1" applyFill="1" applyBorder="1"/>
    <xf numFmtId="2" fontId="0" fillId="62" borderId="15" xfId="0" applyNumberFormat="1" applyFont="1" applyFill="1" applyBorder="1" applyProtection="1">
      <protection locked="0"/>
    </xf>
    <xf numFmtId="2" fontId="0" fillId="62" borderId="15" xfId="0" applyNumberFormat="1" applyFill="1" applyBorder="1" applyProtection="1">
      <protection locked="0"/>
    </xf>
    <xf numFmtId="17" fontId="0" fillId="0" borderId="0" xfId="0" quotePrefix="1" applyNumberFormat="1" applyAlignment="1">
      <alignment horizontal="center"/>
    </xf>
    <xf numFmtId="164" fontId="1" fillId="0" borderId="2" xfId="1" applyFont="1" applyBorder="1"/>
    <xf numFmtId="164" fontId="1" fillId="0" borderId="3" xfId="1" applyFont="1" applyBorder="1"/>
    <xf numFmtId="164" fontId="1" fillId="0" borderId="6" xfId="1" applyFont="1" applyBorder="1"/>
    <xf numFmtId="164" fontId="1" fillId="0" borderId="6" xfId="1" applyFont="1" applyFill="1" applyBorder="1"/>
    <xf numFmtId="164" fontId="5" fillId="0" borderId="11" xfId="1" applyFont="1" applyFill="1" applyBorder="1"/>
    <xf numFmtId="164" fontId="5" fillId="0" borderId="13" xfId="1" applyFont="1" applyFill="1" applyBorder="1"/>
    <xf numFmtId="164" fontId="1" fillId="0" borderId="9" xfId="1" applyFont="1" applyFill="1" applyBorder="1"/>
    <xf numFmtId="164" fontId="1" fillId="0" borderId="4" xfId="1" applyFont="1" applyBorder="1"/>
    <xf numFmtId="43" fontId="1" fillId="0" borderId="13" xfId="4" applyFont="1" applyBorder="1"/>
    <xf numFmtId="164" fontId="5" fillId="0" borderId="8" xfId="1" applyFont="1" applyFill="1" applyBorder="1"/>
    <xf numFmtId="164" fontId="5" fillId="0" borderId="9" xfId="1" applyFont="1" applyFill="1" applyBorder="1"/>
    <xf numFmtId="0" fontId="5" fillId="0" borderId="8" xfId="2" applyFont="1" applyBorder="1"/>
    <xf numFmtId="43" fontId="1" fillId="0" borderId="10" xfId="4" applyFont="1" applyBorder="1"/>
    <xf numFmtId="0" fontId="5" fillId="64" borderId="0" xfId="2" applyFont="1" applyFill="1"/>
    <xf numFmtId="0" fontId="6" fillId="64" borderId="8" xfId="2" applyFont="1" applyFill="1" applyBorder="1"/>
    <xf numFmtId="0" fontId="5" fillId="64" borderId="8" xfId="2" applyFont="1" applyFill="1" applyBorder="1"/>
    <xf numFmtId="0" fontId="6" fillId="64" borderId="0" xfId="2" applyFont="1" applyFill="1"/>
    <xf numFmtId="0" fontId="5" fillId="64" borderId="3" xfId="2" applyFont="1" applyFill="1" applyBorder="1" applyAlignment="1"/>
    <xf numFmtId="0" fontId="5" fillId="64" borderId="0" xfId="2" applyFont="1" applyFill="1" applyAlignment="1"/>
    <xf numFmtId="0" fontId="5" fillId="64" borderId="0" xfId="2" applyFont="1" applyFill="1" applyBorder="1" applyAlignment="1"/>
    <xf numFmtId="0" fontId="5" fillId="64" borderId="8" xfId="2" applyFont="1" applyFill="1" applyBorder="1" applyAlignment="1"/>
    <xf numFmtId="0" fontId="5" fillId="64" borderId="9" xfId="2" applyFont="1" applyFill="1" applyBorder="1"/>
    <xf numFmtId="0" fontId="5" fillId="64" borderId="5" xfId="2" applyFont="1" applyFill="1" applyBorder="1"/>
    <xf numFmtId="0" fontId="5" fillId="64" borderId="0" xfId="2" applyFont="1" applyFill="1" applyBorder="1"/>
    <xf numFmtId="0" fontId="5" fillId="64" borderId="6" xfId="2" applyFont="1" applyFill="1" applyBorder="1"/>
    <xf numFmtId="0" fontId="5" fillId="64" borderId="7" xfId="2" applyFont="1" applyFill="1" applyBorder="1"/>
    <xf numFmtId="166" fontId="1" fillId="64" borderId="0" xfId="4" applyNumberFormat="1" applyFont="1" applyFill="1" applyBorder="1" applyAlignment="1"/>
    <xf numFmtId="43" fontId="1" fillId="64" borderId="1" xfId="4" applyNumberFormat="1" applyFont="1" applyFill="1" applyBorder="1"/>
    <xf numFmtId="166" fontId="1" fillId="64" borderId="1" xfId="4" applyNumberFormat="1" applyFont="1" applyFill="1" applyBorder="1"/>
    <xf numFmtId="165" fontId="1" fillId="64" borderId="1" xfId="3" applyNumberFormat="1" applyFont="1" applyFill="1" applyBorder="1"/>
    <xf numFmtId="166" fontId="5" fillId="64" borderId="1" xfId="2" applyNumberFormat="1" applyFont="1" applyFill="1" applyBorder="1"/>
    <xf numFmtId="43" fontId="2" fillId="63" borderId="11" xfId="4" applyFont="1" applyFill="1" applyBorder="1"/>
    <xf numFmtId="43" fontId="6" fillId="63" borderId="8" xfId="2" applyNumberFormat="1" applyFont="1" applyFill="1" applyBorder="1"/>
    <xf numFmtId="43" fontId="6" fillId="63" borderId="9" xfId="2" applyNumberFormat="1" applyFont="1" applyFill="1" applyBorder="1"/>
    <xf numFmtId="43" fontId="2" fillId="63" borderId="13" xfId="4" applyFont="1" applyFill="1" applyBorder="1"/>
    <xf numFmtId="43" fontId="1" fillId="0" borderId="52" xfId="4" applyFont="1" applyBorder="1"/>
    <xf numFmtId="0" fontId="6" fillId="5" borderId="4" xfId="2" applyFont="1" applyFill="1" applyBorder="1" applyAlignment="1">
      <alignment horizontal="center"/>
    </xf>
    <xf numFmtId="6" fontId="6" fillId="5" borderId="9" xfId="2" quotePrefix="1" applyNumberFormat="1" applyFont="1" applyFill="1" applyBorder="1" applyAlignment="1">
      <alignment horizontal="center"/>
    </xf>
    <xf numFmtId="166" fontId="0" fillId="62" borderId="1" xfId="4" applyNumberFormat="1" applyFont="1" applyFill="1" applyBorder="1" applyAlignment="1" applyProtection="1">
      <alignment horizontal="center"/>
      <protection locked="0"/>
    </xf>
    <xf numFmtId="165" fontId="1" fillId="62" borderId="29" xfId="3" applyNumberFormat="1" applyFont="1" applyFill="1" applyBorder="1" applyProtection="1">
      <protection locked="0"/>
    </xf>
    <xf numFmtId="165" fontId="1" fillId="62" borderId="30" xfId="3" applyNumberFormat="1" applyFont="1" applyFill="1" applyBorder="1" applyProtection="1">
      <protection locked="0"/>
    </xf>
    <xf numFmtId="166" fontId="1" fillId="62" borderId="31" xfId="4" applyNumberFormat="1" applyFont="1" applyFill="1" applyBorder="1" applyProtection="1">
      <protection locked="0"/>
    </xf>
    <xf numFmtId="166" fontId="1" fillId="62" borderId="1" xfId="4" applyNumberFormat="1" applyFont="1" applyFill="1" applyBorder="1" applyProtection="1">
      <protection locked="0"/>
    </xf>
    <xf numFmtId="43" fontId="1" fillId="62" borderId="1" xfId="4" applyNumberFormat="1" applyFont="1" applyFill="1" applyBorder="1" applyProtection="1">
      <protection locked="0"/>
    </xf>
    <xf numFmtId="166" fontId="5" fillId="62" borderId="1" xfId="4" applyNumberFormat="1" applyFont="1" applyFill="1" applyBorder="1" applyProtection="1">
      <protection locked="0"/>
    </xf>
    <xf numFmtId="43" fontId="1" fillId="64" borderId="3" xfId="4" applyFont="1" applyFill="1" applyBorder="1"/>
    <xf numFmtId="43" fontId="1" fillId="64" borderId="0" xfId="4" applyFont="1" applyFill="1" applyBorder="1"/>
    <xf numFmtId="0" fontId="6" fillId="64" borderId="0" xfId="2" applyFont="1" applyFill="1" applyBorder="1"/>
    <xf numFmtId="43" fontId="1" fillId="64" borderId="11" xfId="4" applyFont="1" applyFill="1" applyBorder="1"/>
    <xf numFmtId="43" fontId="2" fillId="64" borderId="11" xfId="4" applyFont="1" applyFill="1" applyBorder="1"/>
    <xf numFmtId="43" fontId="5" fillId="64" borderId="0" xfId="2" applyNumberFormat="1" applyFont="1" applyFill="1" applyBorder="1"/>
    <xf numFmtId="0" fontId="5" fillId="64" borderId="4" xfId="2" applyFont="1" applyFill="1" applyBorder="1"/>
    <xf numFmtId="0" fontId="6" fillId="64" borderId="6" xfId="2" applyFont="1" applyFill="1" applyBorder="1"/>
    <xf numFmtId="164" fontId="5" fillId="0" borderId="13" xfId="1" applyNumberFormat="1" applyFont="1" applyBorder="1" applyAlignment="1">
      <alignment horizontal="center"/>
    </xf>
    <xf numFmtId="0" fontId="5" fillId="5" borderId="3" xfId="2" applyFont="1" applyFill="1" applyBorder="1"/>
    <xf numFmtId="0" fontId="5" fillId="64" borderId="3" xfId="2" applyFont="1" applyFill="1" applyBorder="1"/>
    <xf numFmtId="165" fontId="1" fillId="62" borderId="1" xfId="3" applyNumberFormat="1" applyFont="1" applyFill="1" applyBorder="1" applyProtection="1">
      <protection locked="0"/>
    </xf>
    <xf numFmtId="0" fontId="8" fillId="60" borderId="8" xfId="2" applyFont="1" applyFill="1" applyBorder="1" applyAlignment="1"/>
    <xf numFmtId="0" fontId="5" fillId="60" borderId="30" xfId="2" applyFont="1" applyFill="1" applyBorder="1" applyAlignment="1">
      <alignment horizontal="center"/>
    </xf>
    <xf numFmtId="0" fontId="5" fillId="60" borderId="30" xfId="2" applyFont="1" applyFill="1" applyBorder="1"/>
    <xf numFmtId="0" fontId="8" fillId="60" borderId="6" xfId="2" applyFont="1" applyFill="1" applyBorder="1" applyAlignment="1"/>
    <xf numFmtId="0" fontId="5" fillId="60" borderId="8" xfId="2" applyFont="1" applyFill="1" applyBorder="1"/>
    <xf numFmtId="0" fontId="6" fillId="60" borderId="8" xfId="2" applyFont="1" applyFill="1" applyBorder="1"/>
    <xf numFmtId="0" fontId="8" fillId="60" borderId="11" xfId="2" applyFont="1" applyFill="1" applyBorder="1" applyAlignment="1"/>
    <xf numFmtId="0" fontId="6" fillId="60" borderId="11" xfId="2" applyFont="1" applyFill="1" applyBorder="1"/>
    <xf numFmtId="0" fontId="6" fillId="60" borderId="11" xfId="2" applyFont="1" applyFill="1" applyBorder="1" applyAlignment="1"/>
    <xf numFmtId="0" fontId="6" fillId="5" borderId="3" xfId="2" applyFont="1" applyFill="1" applyBorder="1" applyAlignment="1">
      <alignment horizontal="right"/>
    </xf>
    <xf numFmtId="0" fontId="6" fillId="5" borderId="3" xfId="2" applyFont="1" applyFill="1" applyBorder="1" applyAlignment="1">
      <alignment horizontal="center"/>
    </xf>
    <xf numFmtId="0" fontId="8" fillId="60" borderId="11" xfId="2" applyFont="1" applyFill="1" applyBorder="1" applyAlignment="1">
      <alignment horizontal="center"/>
    </xf>
    <xf numFmtId="0" fontId="8" fillId="60" borderId="5" xfId="2" applyFont="1" applyFill="1" applyBorder="1" applyAlignment="1">
      <alignment horizontal="center"/>
    </xf>
    <xf numFmtId="0" fontId="5" fillId="60" borderId="5" xfId="2" applyFont="1" applyFill="1" applyBorder="1" applyAlignment="1">
      <alignment horizontal="center"/>
    </xf>
    <xf numFmtId="165" fontId="1" fillId="4" borderId="53" xfId="3" applyNumberFormat="1" applyFont="1" applyFill="1" applyBorder="1"/>
    <xf numFmtId="0" fontId="5" fillId="60" borderId="15" xfId="2" applyFont="1" applyFill="1" applyBorder="1"/>
    <xf numFmtId="0" fontId="8" fillId="60" borderId="11" xfId="2" applyFont="1" applyFill="1" applyBorder="1"/>
    <xf numFmtId="0" fontId="5" fillId="60" borderId="11" xfId="2" applyFont="1" applyFill="1" applyBorder="1"/>
    <xf numFmtId="0" fontId="5" fillId="60" borderId="13" xfId="2" applyFont="1" applyFill="1" applyBorder="1"/>
    <xf numFmtId="0" fontId="5" fillId="0" borderId="2" xfId="2" applyFont="1" applyFill="1" applyBorder="1"/>
    <xf numFmtId="0" fontId="5" fillId="0" borderId="3" xfId="2" applyFont="1" applyFill="1" applyBorder="1"/>
    <xf numFmtId="0" fontId="5" fillId="0" borderId="4" xfId="2" applyFont="1" applyFill="1" applyBorder="1"/>
    <xf numFmtId="43" fontId="1" fillId="64" borderId="4" xfId="4" applyFont="1" applyFill="1" applyBorder="1"/>
    <xf numFmtId="43" fontId="1" fillId="64" borderId="6" xfId="4" applyFont="1" applyFill="1" applyBorder="1"/>
    <xf numFmtId="43" fontId="1" fillId="64" borderId="13" xfId="4" applyFont="1" applyFill="1" applyBorder="1"/>
    <xf numFmtId="43" fontId="2" fillId="64" borderId="13" xfId="4" applyFont="1" applyFill="1" applyBorder="1"/>
    <xf numFmtId="43" fontId="5" fillId="64" borderId="6" xfId="2" applyNumberFormat="1" applyFont="1" applyFill="1" applyBorder="1"/>
    <xf numFmtId="0" fontId="5" fillId="0" borderId="7" xfId="2" applyFont="1" applyBorder="1"/>
    <xf numFmtId="43" fontId="5" fillId="0" borderId="8" xfId="2" applyNumberFormat="1" applyFont="1" applyBorder="1"/>
    <xf numFmtId="43" fontId="5" fillId="0" borderId="9" xfId="2" applyNumberFormat="1" applyFont="1" applyBorder="1"/>
    <xf numFmtId="0" fontId="5" fillId="0" borderId="9" xfId="2" applyFont="1" applyBorder="1"/>
    <xf numFmtId="43" fontId="2" fillId="0" borderId="0" xfId="4" applyFont="1" applyAlignment="1">
      <alignment vertical="center"/>
    </xf>
    <xf numFmtId="0" fontId="0" fillId="0" borderId="0" xfId="0" applyAlignment="1">
      <alignment horizontal="left" vertical="top" wrapText="1"/>
    </xf>
    <xf numFmtId="0" fontId="0" fillId="0" borderId="0" xfId="0" applyAlignment="1">
      <alignment horizontal="left" vertical="top"/>
    </xf>
    <xf numFmtId="0" fontId="2" fillId="5" borderId="0" xfId="0" applyFont="1" applyFill="1" applyAlignment="1">
      <alignment horizontal="center" vertical="top"/>
    </xf>
    <xf numFmtId="0" fontId="6" fillId="60" borderId="11" xfId="2" applyFont="1" applyFill="1" applyBorder="1" applyAlignment="1">
      <alignment horizontal="left"/>
    </xf>
    <xf numFmtId="0" fontId="8" fillId="60" borderId="11" xfId="2" applyFont="1" applyFill="1" applyBorder="1" applyAlignment="1">
      <alignment horizontal="left"/>
    </xf>
    <xf numFmtId="0" fontId="8" fillId="60" borderId="13" xfId="2" applyFont="1" applyFill="1" applyBorder="1" applyAlignment="1">
      <alignment horizontal="left"/>
    </xf>
    <xf numFmtId="164" fontId="9" fillId="3" borderId="8" xfId="1" applyFont="1" applyFill="1" applyBorder="1" applyAlignment="1">
      <alignment horizontal="center"/>
    </xf>
    <xf numFmtId="164" fontId="9" fillId="3" borderId="9" xfId="1" applyFont="1" applyFill="1" applyBorder="1" applyAlignment="1">
      <alignment horizontal="center"/>
    </xf>
    <xf numFmtId="43" fontId="9" fillId="3" borderId="8" xfId="4" applyFont="1" applyFill="1" applyBorder="1" applyAlignment="1">
      <alignment horizontal="center"/>
    </xf>
    <xf numFmtId="43" fontId="9" fillId="3" borderId="9" xfId="4" applyFont="1" applyFill="1" applyBorder="1" applyAlignment="1">
      <alignment horizontal="center"/>
    </xf>
    <xf numFmtId="0" fontId="8" fillId="60" borderId="8" xfId="2" applyFont="1" applyFill="1" applyBorder="1" applyAlignment="1">
      <alignment horizontal="left"/>
    </xf>
    <xf numFmtId="0" fontId="8" fillId="60" borderId="9" xfId="2" applyFont="1" applyFill="1" applyBorder="1" applyAlignment="1">
      <alignment horizontal="left"/>
    </xf>
    <xf numFmtId="0" fontId="2" fillId="5" borderId="17" xfId="0" applyFont="1" applyFill="1" applyBorder="1" applyAlignment="1">
      <alignment horizontal="center"/>
    </xf>
    <xf numFmtId="0" fontId="2" fillId="5" borderId="3" xfId="0" applyFont="1" applyFill="1" applyBorder="1" applyAlignment="1">
      <alignment horizontal="center"/>
    </xf>
    <xf numFmtId="0" fontId="2" fillId="61" borderId="19" xfId="0" applyFont="1" applyFill="1" applyBorder="1" applyAlignment="1">
      <alignment horizontal="center"/>
    </xf>
    <xf numFmtId="0" fontId="2" fillId="5" borderId="8" xfId="0" applyFont="1" applyFill="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5" borderId="43" xfId="0" applyFont="1" applyFill="1" applyBorder="1" applyAlignment="1">
      <alignment horizontal="center"/>
    </xf>
    <xf numFmtId="0" fontId="2" fillId="5" borderId="0" xfId="0" applyFont="1" applyFill="1" applyBorder="1" applyAlignment="1">
      <alignment horizontal="center"/>
    </xf>
    <xf numFmtId="0" fontId="2" fillId="5" borderId="48" xfId="0" applyFont="1" applyFill="1" applyBorder="1" applyAlignment="1">
      <alignment horizontal="center"/>
    </xf>
    <xf numFmtId="0" fontId="2" fillId="0" borderId="0" xfId="0" applyFont="1" applyBorder="1" applyAlignment="1">
      <alignment horizontal="center"/>
    </xf>
    <xf numFmtId="0" fontId="2" fillId="0" borderId="6" xfId="0" applyFont="1" applyBorder="1" applyAlignment="1">
      <alignment horizontal="center"/>
    </xf>
    <xf numFmtId="0" fontId="2" fillId="2" borderId="17"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cellXfs>
  <cellStyles count="344">
    <cellStyle name="_x0013_" xfId="5"/>
    <cellStyle name="20% - Accent1 2" xfId="7"/>
    <cellStyle name="20% - Accent1 3" xfId="8"/>
    <cellStyle name="20% - Accent1 4" xfId="6"/>
    <cellStyle name="20% - Accent2 2" xfId="10"/>
    <cellStyle name="20% - Accent2 3" xfId="11"/>
    <cellStyle name="20% - Accent2 4" xfId="9"/>
    <cellStyle name="20% - Accent3 2" xfId="13"/>
    <cellStyle name="20% - Accent3 3" xfId="14"/>
    <cellStyle name="20% - Accent3 4" xfId="12"/>
    <cellStyle name="20% - Accent4 2" xfId="16"/>
    <cellStyle name="20% - Accent4 3" xfId="17"/>
    <cellStyle name="20% - Accent4 4" xfId="15"/>
    <cellStyle name="20% - Accent5 2" xfId="19"/>
    <cellStyle name="20% - Accent5 3" xfId="18"/>
    <cellStyle name="20% - Accent6 2" xfId="21"/>
    <cellStyle name="20% - Accent6 3" xfId="22"/>
    <cellStyle name="20% - Accent6 4" xfId="20"/>
    <cellStyle name="40% - Accent1 2" xfId="24"/>
    <cellStyle name="40% - Accent1 3" xfId="25"/>
    <cellStyle name="40% - Accent1 4" xfId="23"/>
    <cellStyle name="40% - Accent2 2" xfId="27"/>
    <cellStyle name="40% - Accent2 3" xfId="26"/>
    <cellStyle name="40% - Accent3 2" xfId="29"/>
    <cellStyle name="40% - Accent3 3" xfId="30"/>
    <cellStyle name="40% - Accent3 4" xfId="28"/>
    <cellStyle name="40% - Accent4 2" xfId="32"/>
    <cellStyle name="40% - Accent4 3" xfId="33"/>
    <cellStyle name="40% - Accent4 4" xfId="31"/>
    <cellStyle name="40% - Accent5 2" xfId="35"/>
    <cellStyle name="40% - Accent5 3" xfId="36"/>
    <cellStyle name="40% - Accent5 4" xfId="34"/>
    <cellStyle name="40% - Accent6 2" xfId="38"/>
    <cellStyle name="40% - Accent6 3" xfId="39"/>
    <cellStyle name="40% - Accent6 4" xfId="37"/>
    <cellStyle name="60% - Accent1 2" xfId="41"/>
    <cellStyle name="60% - Accent1 3" xfId="42"/>
    <cellStyle name="60% - Accent1 4" xfId="40"/>
    <cellStyle name="60% - Accent2 2" xfId="44"/>
    <cellStyle name="60% - Accent2 3" xfId="45"/>
    <cellStyle name="60% - Accent2 4" xfId="43"/>
    <cellStyle name="60% - Accent3 2" xfId="47"/>
    <cellStyle name="60% - Accent3 3" xfId="48"/>
    <cellStyle name="60% - Accent3 4" xfId="46"/>
    <cellStyle name="60% - Accent4 2" xfId="50"/>
    <cellStyle name="60% - Accent4 3" xfId="51"/>
    <cellStyle name="60% - Accent4 4" xfId="49"/>
    <cellStyle name="60% - Accent5 2" xfId="53"/>
    <cellStyle name="60% - Accent5 3" xfId="54"/>
    <cellStyle name="60% - Accent5 4" xfId="52"/>
    <cellStyle name="60% - Accent6 2" xfId="56"/>
    <cellStyle name="60% - Accent6 3" xfId="57"/>
    <cellStyle name="60% - Accent6 4" xfId="55"/>
    <cellStyle name="Accent1 2" xfId="59"/>
    <cellStyle name="Accent1 3" xfId="60"/>
    <cellStyle name="Accent1 4" xfId="58"/>
    <cellStyle name="Accent2 2" xfId="62"/>
    <cellStyle name="Accent2 3" xfId="63"/>
    <cellStyle name="Accent2 4" xfId="61"/>
    <cellStyle name="Accent3 2" xfId="65"/>
    <cellStyle name="Accent3 3" xfId="66"/>
    <cellStyle name="Accent3 4" xfId="64"/>
    <cellStyle name="Accent4 2" xfId="68"/>
    <cellStyle name="Accent4 3" xfId="69"/>
    <cellStyle name="Accent4 4" xfId="67"/>
    <cellStyle name="Accent5 2" xfId="71"/>
    <cellStyle name="Accent5 3" xfId="70"/>
    <cellStyle name="Accent6 2" xfId="73"/>
    <cellStyle name="Accent6 3" xfId="74"/>
    <cellStyle name="Accent6 4" xfId="72"/>
    <cellStyle name="Bad 2" xfId="76"/>
    <cellStyle name="Bad 3" xfId="77"/>
    <cellStyle name="Bad 4" xfId="75"/>
    <cellStyle name="Calculation 2" xfId="79"/>
    <cellStyle name="Calculation 3" xfId="80"/>
    <cellStyle name="Calculation 4" xfId="78"/>
    <cellStyle name="cc0 -CalComma" xfId="81"/>
    <cellStyle name="cc0 -CalComma 2" xfId="82"/>
    <cellStyle name="cc1 -CalComma" xfId="83"/>
    <cellStyle name="cc1 -CalComma 2" xfId="84"/>
    <cellStyle name="cc2 -CalComma" xfId="85"/>
    <cellStyle name="cc2 -CalComma 2" xfId="86"/>
    <cellStyle name="cc3 -CalComma" xfId="87"/>
    <cellStyle name="cc3 -CalComma 2" xfId="88"/>
    <cellStyle name="cc4 -CalComma" xfId="89"/>
    <cellStyle name="cc4 -CalComma 2" xfId="90"/>
    <cellStyle name="cdDMMY -CalDate" xfId="91"/>
    <cellStyle name="cdDMMY -CalDate 2" xfId="92"/>
    <cellStyle name="cdDMMYHM -CalDateTime" xfId="93"/>
    <cellStyle name="cdDMMYHM -CalDateTime 2" xfId="94"/>
    <cellStyle name="cdDMY -CalDate" xfId="95"/>
    <cellStyle name="cdDMY -CalDate 2" xfId="96"/>
    <cellStyle name="cdMDY -CalDate" xfId="97"/>
    <cellStyle name="cdMDY -CalDate 2" xfId="98"/>
    <cellStyle name="cdMMY -CalDate" xfId="99"/>
    <cellStyle name="cdMMY -CalDate 2" xfId="100"/>
    <cellStyle name="cdMMYc-CalDateC" xfId="101"/>
    <cellStyle name="cdMMYc-CalDateC 2" xfId="102"/>
    <cellStyle name="cf0 -CalFixed" xfId="103"/>
    <cellStyle name="cf0 -CalFixed 2" xfId="104"/>
    <cellStyle name="Check Cell 2" xfId="106"/>
    <cellStyle name="Check Cell 3" xfId="105"/>
    <cellStyle name="cmHM  -CalTime" xfId="107"/>
    <cellStyle name="cmHM  -CalTime 2" xfId="108"/>
    <cellStyle name="cmHM24+ -CalTime" xfId="109"/>
    <cellStyle name="cmHM24+ -CalTime 2" xfId="110"/>
    <cellStyle name="Comma" xfId="1" builtinId="3"/>
    <cellStyle name="Comma 10" xfId="112"/>
    <cellStyle name="Comma 2" xfId="4"/>
    <cellStyle name="Comma 2 2" xfId="114"/>
    <cellStyle name="Comma 2 2 2" xfId="115"/>
    <cellStyle name="Comma 2 2 2 2" xfId="116"/>
    <cellStyle name="Comma 2 3" xfId="117"/>
    <cellStyle name="Comma 2 4" xfId="118"/>
    <cellStyle name="Comma 2 5" xfId="119"/>
    <cellStyle name="Comma 2 6" xfId="120"/>
    <cellStyle name="Comma 2 7" xfId="121"/>
    <cellStyle name="Comma 2 8" xfId="113"/>
    <cellStyle name="Comma 2_Menu" xfId="122"/>
    <cellStyle name="Comma 3" xfId="123"/>
    <cellStyle name="Comma 3 2" xfId="124"/>
    <cellStyle name="Comma 3 2 2" xfId="125"/>
    <cellStyle name="Comma 3 2 2 2" xfId="126"/>
    <cellStyle name="Comma 3 2 3" xfId="127"/>
    <cellStyle name="Comma 3 3" xfId="128"/>
    <cellStyle name="Comma 3 4" xfId="129"/>
    <cellStyle name="Comma 3 5" xfId="130"/>
    <cellStyle name="Comma 3 6" xfId="131"/>
    <cellStyle name="Comma 4" xfId="132"/>
    <cellStyle name="Comma 4 2" xfId="133"/>
    <cellStyle name="Comma 4 4" xfId="134"/>
    <cellStyle name="Comma 4 5" xfId="135"/>
    <cellStyle name="Comma 4 6" xfId="136"/>
    <cellStyle name="Comma 4 7" xfId="137"/>
    <cellStyle name="Comma 4 8" xfId="138"/>
    <cellStyle name="Comma 5" xfId="139"/>
    <cellStyle name="Comma 5 2" xfId="140"/>
    <cellStyle name="Comma 5 3" xfId="141"/>
    <cellStyle name="Comma 6" xfId="142"/>
    <cellStyle name="Comma 6 2" xfId="143"/>
    <cellStyle name="Comma 7" xfId="144"/>
    <cellStyle name="Comma 8" xfId="111"/>
    <cellStyle name="cp0 -CalPercent" xfId="145"/>
    <cellStyle name="cp0 -CalPercent 2" xfId="146"/>
    <cellStyle name="cp1 -CalPercent" xfId="147"/>
    <cellStyle name="cp2 -CalPercent" xfId="148"/>
    <cellStyle name="cp2 -CalPercent 2" xfId="149"/>
    <cellStyle name="cp3 -CalPercent" xfId="150"/>
    <cellStyle name="cp3 -CalPercent 2" xfId="151"/>
    <cellStyle name="cr0 -CalCurr" xfId="152"/>
    <cellStyle name="cr0 -CalCurr 2" xfId="153"/>
    <cellStyle name="cr1 -CalCurr" xfId="154"/>
    <cellStyle name="cr1 -CalCurr 2" xfId="155"/>
    <cellStyle name="cr2 -CalCurr" xfId="156"/>
    <cellStyle name="cr2 -CalCurr 2" xfId="157"/>
    <cellStyle name="cr3 -CalCurr" xfId="158"/>
    <cellStyle name="cr3 -CalCurr 2" xfId="159"/>
    <cellStyle name="cr4 -CalCurr" xfId="160"/>
    <cellStyle name="cr4 -CalCurr 2" xfId="161"/>
    <cellStyle name="Currency 2" xfId="162"/>
    <cellStyle name="Currency 3" xfId="163"/>
    <cellStyle name="Currency 4" xfId="164"/>
    <cellStyle name="Currency 4 2" xfId="165"/>
    <cellStyle name="Explanatory Text 2" xfId="167"/>
    <cellStyle name="Explanatory Text 3" xfId="166"/>
    <cellStyle name="Good 2" xfId="169"/>
    <cellStyle name="Good 3" xfId="170"/>
    <cellStyle name="Good 4" xfId="168"/>
    <cellStyle name="h0 -Heading" xfId="171"/>
    <cellStyle name="h0 -Heading 2" xfId="172"/>
    <cellStyle name="h1 -Heading" xfId="173"/>
    <cellStyle name="h1 -Heading 2" xfId="174"/>
    <cellStyle name="h2 -Heading" xfId="175"/>
    <cellStyle name="h2 -Heading 2" xfId="176"/>
    <cellStyle name="h3 -Heading" xfId="177"/>
    <cellStyle name="h3 -Heading 2" xfId="178"/>
    <cellStyle name="Heading 1 2" xfId="180"/>
    <cellStyle name="Heading 1 3" xfId="181"/>
    <cellStyle name="Heading 1 4" xfId="179"/>
    <cellStyle name="Heading 2 2" xfId="183"/>
    <cellStyle name="Heading 2 3" xfId="184"/>
    <cellStyle name="Heading 2 4" xfId="182"/>
    <cellStyle name="Heading 3 2" xfId="186"/>
    <cellStyle name="Heading 3 3" xfId="187"/>
    <cellStyle name="Heading 3 4" xfId="185"/>
    <cellStyle name="Heading 4 2" xfId="189"/>
    <cellStyle name="Heading 4 3" xfId="190"/>
    <cellStyle name="Heading 4 4" xfId="188"/>
    <cellStyle name="hp0 -Hyperlink" xfId="191"/>
    <cellStyle name="hp1 -Hyperlink" xfId="192"/>
    <cellStyle name="hp2 -Hyperlink" xfId="193"/>
    <cellStyle name="hp3 -Hyperlink" xfId="194"/>
    <cellStyle name="Hyperlink" xfId="195" builtinId="8"/>
    <cellStyle name="Hyperlink 2" xfId="196"/>
    <cellStyle name="Hyperlink 2 2" xfId="197"/>
    <cellStyle name="ic0 -InpComma" xfId="198"/>
    <cellStyle name="ic1 -InpComma" xfId="199"/>
    <cellStyle name="ic2 -InpComma" xfId="200"/>
    <cellStyle name="ic3 -InpComma" xfId="201"/>
    <cellStyle name="ic4 -InpComma" xfId="202"/>
    <cellStyle name="idDMMY -InpDate" xfId="203"/>
    <cellStyle name="idDMMYHM -InpDateTime" xfId="204"/>
    <cellStyle name="idDMY -InpDate" xfId="205"/>
    <cellStyle name="idMDY -InpDate" xfId="206"/>
    <cellStyle name="idMMY -InpDate" xfId="207"/>
    <cellStyle name="if0 -InpFixed" xfId="208"/>
    <cellStyle name="if0b-InpFixedB" xfId="209"/>
    <cellStyle name="if0-InpFixed" xfId="210"/>
    <cellStyle name="iln -InpTableTextNoWrap" xfId="211"/>
    <cellStyle name="ilnb-InpTableTextNoWrapB" xfId="212"/>
    <cellStyle name="ilw -InpTableTextWrap" xfId="213"/>
    <cellStyle name="imHM  -InpTime" xfId="214"/>
    <cellStyle name="imHM24+ -InpTime" xfId="215"/>
    <cellStyle name="Input 2" xfId="217"/>
    <cellStyle name="Input 3" xfId="218"/>
    <cellStyle name="Input 4" xfId="216"/>
    <cellStyle name="ip0 -InpPercent" xfId="219"/>
    <cellStyle name="ip1 -InpPercent" xfId="220"/>
    <cellStyle name="ip2 -InpPercent" xfId="221"/>
    <cellStyle name="ip3 -InpPercent" xfId="222"/>
    <cellStyle name="ir0 -InpCurr" xfId="223"/>
    <cellStyle name="ir1 -InpCurr" xfId="224"/>
    <cellStyle name="ir2 -InpCurr" xfId="225"/>
    <cellStyle name="ir3 -InpCurr" xfId="226"/>
    <cellStyle name="ir4 -InpCurr" xfId="227"/>
    <cellStyle name="is0 -InpSideText" xfId="228"/>
    <cellStyle name="is1 -InpSideText" xfId="229"/>
    <cellStyle name="is2 -InpSideText" xfId="230"/>
    <cellStyle name="is3 -InpSideText" xfId="231"/>
    <cellStyle name="is4 -InpSideText" xfId="232"/>
    <cellStyle name="itn -InpTopTextNoWrap" xfId="233"/>
    <cellStyle name="itw -InpTopTextWrap" xfId="234"/>
    <cellStyle name="Linked Cell 2" xfId="236"/>
    <cellStyle name="Linked Cell 3" xfId="237"/>
    <cellStyle name="Linked Cell 4" xfId="235"/>
    <cellStyle name="ltn -TableTextNoWrap" xfId="238"/>
    <cellStyle name="ltn -TableTextNoWrap 2" xfId="239"/>
    <cellStyle name="ltw -TableTextWrap" xfId="240"/>
    <cellStyle name="ltw -TableTextWrap 2" xfId="241"/>
    <cellStyle name="Neutral 2" xfId="243"/>
    <cellStyle name="Neutral 3" xfId="244"/>
    <cellStyle name="Neutral 4" xfId="242"/>
    <cellStyle name="Normal" xfId="0" builtinId="0"/>
    <cellStyle name="Normal 10" xfId="245"/>
    <cellStyle name="Normal 11" xfId="246"/>
    <cellStyle name="Normal 12" xfId="247"/>
    <cellStyle name="Normal 13" xfId="248"/>
    <cellStyle name="Normal 14" xfId="249"/>
    <cellStyle name="Normal 2" xfId="2"/>
    <cellStyle name="Normal 2 2" xfId="251"/>
    <cellStyle name="Normal 2 2 2" xfId="252"/>
    <cellStyle name="Normal 2 2 3" xfId="253"/>
    <cellStyle name="Normal 2 2 4" xfId="254"/>
    <cellStyle name="Normal 2 2 5" xfId="255"/>
    <cellStyle name="Normal 2 2 6" xfId="256"/>
    <cellStyle name="Normal 2 2_EDB010" xfId="257"/>
    <cellStyle name="Normal 2 3" xfId="258"/>
    <cellStyle name="Normal 2 3 2" xfId="259"/>
    <cellStyle name="Normal 2 4" xfId="260"/>
    <cellStyle name="Normal 2 5" xfId="261"/>
    <cellStyle name="Normal 2 6" xfId="262"/>
    <cellStyle name="Normal 2 7" xfId="263"/>
    <cellStyle name="Normal 2 8" xfId="264"/>
    <cellStyle name="Normal 2 9" xfId="250"/>
    <cellStyle name="Normal 2_Menu" xfId="265"/>
    <cellStyle name="Normal 3" xfId="266"/>
    <cellStyle name="Normal 3 2" xfId="267"/>
    <cellStyle name="Normal 3 2 2" xfId="268"/>
    <cellStyle name="Normal 3 2 3" xfId="269"/>
    <cellStyle name="Normal 3 3" xfId="270"/>
    <cellStyle name="Normal 3 4" xfId="271"/>
    <cellStyle name="Normal 3 5" xfId="272"/>
    <cellStyle name="Normal 4" xfId="273"/>
    <cellStyle name="Normal 4 2" xfId="274"/>
    <cellStyle name="Normal 4 2 2" xfId="275"/>
    <cellStyle name="Normal 4 2 3" xfId="276"/>
    <cellStyle name="Normal 4 2 4" xfId="277"/>
    <cellStyle name="Normal 4 3" xfId="278"/>
    <cellStyle name="Normal 5" xfId="279"/>
    <cellStyle name="Normal 5 2" xfId="280"/>
    <cellStyle name="Normal 6" xfId="281"/>
    <cellStyle name="Normal 6 2" xfId="282"/>
    <cellStyle name="Normal 7" xfId="283"/>
    <cellStyle name="Normal 7 2" xfId="284"/>
    <cellStyle name="Normal 7 2 2" xfId="285"/>
    <cellStyle name="Normal 7 3" xfId="286"/>
    <cellStyle name="Normal 7 4" xfId="287"/>
    <cellStyle name="Normal 7 5" xfId="288"/>
    <cellStyle name="Normal 8" xfId="289"/>
    <cellStyle name="Normal 8 2" xfId="290"/>
    <cellStyle name="Normal 8 3" xfId="291"/>
    <cellStyle name="Normal 9" xfId="292"/>
    <cellStyle name="Note 2" xfId="294"/>
    <cellStyle name="Note 3" xfId="295"/>
    <cellStyle name="Note 4" xfId="293"/>
    <cellStyle name="Output 2" xfId="297"/>
    <cellStyle name="Output 3" xfId="298"/>
    <cellStyle name="Output 4" xfId="296"/>
    <cellStyle name="Percent 2" xfId="3"/>
    <cellStyle name="Percent 2 2" xfId="300"/>
    <cellStyle name="Percent 2 2 2" xfId="301"/>
    <cellStyle name="Percent 2 2 3" xfId="302"/>
    <cellStyle name="Percent 2 3" xfId="303"/>
    <cellStyle name="Percent 2 4" xfId="304"/>
    <cellStyle name="Percent 2 4 2" xfId="305"/>
    <cellStyle name="Percent 2 5" xfId="306"/>
    <cellStyle name="Percent 2 6" xfId="307"/>
    <cellStyle name="Percent 2 7" xfId="299"/>
    <cellStyle name="Percent 3" xfId="308"/>
    <cellStyle name="Percent 4" xfId="309"/>
    <cellStyle name="Percent 4 2" xfId="310"/>
    <cellStyle name="Percent 5" xfId="311"/>
    <cellStyle name="sh0 -SideHeading" xfId="312"/>
    <cellStyle name="sh0 -SideHeading 2" xfId="313"/>
    <cellStyle name="sh1 -SideHeading" xfId="314"/>
    <cellStyle name="sh1 -SideHeading 2" xfId="315"/>
    <cellStyle name="sh2 -SideHeading" xfId="316"/>
    <cellStyle name="sh2 -SideHeading 2" xfId="317"/>
    <cellStyle name="sh3 -SideHeading" xfId="318"/>
    <cellStyle name="sh3 -SideHeading 2" xfId="319"/>
    <cellStyle name="st0 -SideText" xfId="320"/>
    <cellStyle name="st0 -SideText 2" xfId="321"/>
    <cellStyle name="st1 -SideText" xfId="322"/>
    <cellStyle name="st1 -SideText 2" xfId="323"/>
    <cellStyle name="st2 -SideText" xfId="324"/>
    <cellStyle name="st2 -SideText 2" xfId="325"/>
    <cellStyle name="st3 -SideText" xfId="326"/>
    <cellStyle name="st3 -SideText 2" xfId="327"/>
    <cellStyle name="st4 -SideText" xfId="328"/>
    <cellStyle name="st4 -SideText 2" xfId="329"/>
    <cellStyle name="Style 1" xfId="330"/>
    <cellStyle name="Style 1 2" xfId="331"/>
    <cellStyle name="Title 2" xfId="333"/>
    <cellStyle name="Title 3" xfId="334"/>
    <cellStyle name="Title 4" xfId="332"/>
    <cellStyle name="Total 2" xfId="336"/>
    <cellStyle name="Total 3" xfId="337"/>
    <cellStyle name="Total 4" xfId="335"/>
    <cellStyle name="ttn -TopTextNoWrap" xfId="338"/>
    <cellStyle name="ttn -TopTextNoWrap 2" xfId="339"/>
    <cellStyle name="ttw -TopTextWrap" xfId="340"/>
    <cellStyle name="ttw -TopTextWrap 2" xfId="341"/>
    <cellStyle name="Warning Text 2" xfId="343"/>
    <cellStyle name="Warning Text 3" xfId="34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N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Comparison of cashflows</a:t>
            </a:r>
          </a:p>
        </c:rich>
      </c:tx>
      <c:layout/>
      <c:overlay val="0"/>
    </c:title>
    <c:autoTitleDeleted val="0"/>
    <c:plotArea>
      <c:layout/>
      <c:lineChart>
        <c:grouping val="standard"/>
        <c:varyColors val="0"/>
        <c:ser>
          <c:idx val="0"/>
          <c:order val="0"/>
          <c:tx>
            <c:v>Modified Deferred Tax</c:v>
          </c:tx>
          <c:marker>
            <c:symbol val="none"/>
          </c:marker>
          <c:val>
            <c:numRef>
              <c:f>'Tax calcs'!$F$69:$Y$69</c:f>
              <c:numCache>
                <c:formatCode>_(* #,##0.00_);_(* \(#,##0.00\);_(* "-"??_);_(@_)</c:formatCode>
                <c:ptCount val="20"/>
                <c:pt idx="0">
                  <c:v>129.33863115537716</c:v>
                </c:pt>
                <c:pt idx="1">
                  <c:v>125.58305954890665</c:v>
                </c:pt>
                <c:pt idx="2">
                  <c:v>122.09187095150908</c:v>
                </c:pt>
                <c:pt idx="3">
                  <c:v>118.82650337378531</c:v>
                </c:pt>
                <c:pt idx="4">
                  <c:v>115.7519109817522</c:v>
                </c:pt>
                <c:pt idx="5">
                  <c:v>112.83622600799161</c:v>
                </c:pt>
                <c:pt idx="6">
                  <c:v>110.05046389521316</c:v>
                </c:pt>
                <c:pt idx="7">
                  <c:v>107.36827190655833</c:v>
                </c:pt>
                <c:pt idx="8">
                  <c:v>104.76572408391414</c:v>
                </c:pt>
                <c:pt idx="9">
                  <c:v>102.22116975568886</c:v>
                </c:pt>
                <c:pt idx="10">
                  <c:v>99.715150359476411</c:v>
                </c:pt>
                <c:pt idx="11">
                  <c:v>97.230413489659639</c:v>
                </c:pt>
                <c:pt idx="12">
                  <c:v>94.752081366428499</c:v>
                </c:pt>
                <c:pt idx="13">
                  <c:v>92.268091849080008</c:v>
                </c:pt>
                <c:pt idx="14">
                  <c:v>89.770173379908741</c:v>
                </c:pt>
                <c:pt idx="15">
                  <c:v>87.255991055178129</c:v>
                </c:pt>
                <c:pt idx="16">
                  <c:v>84.734239056611798</c:v>
                </c:pt>
                <c:pt idx="17">
                  <c:v>82.238667463779265</c:v>
                </c:pt>
                <c:pt idx="18">
                  <c:v>79.878298683704699</c:v>
                </c:pt>
                <c:pt idx="19">
                  <c:v>102.38563883760247</c:v>
                </c:pt>
              </c:numCache>
            </c:numRef>
          </c:val>
          <c:smooth val="0"/>
        </c:ser>
        <c:ser>
          <c:idx val="1"/>
          <c:order val="1"/>
          <c:tx>
            <c:v>Tax Payable</c:v>
          </c:tx>
          <c:marker>
            <c:symbol val="none"/>
          </c:marker>
          <c:val>
            <c:numRef>
              <c:f>'Tax calcs'!$F$88:$Y$88</c:f>
              <c:numCache>
                <c:formatCode>_(* #,##0.00_);_(* \(#,##0.00\);_(* "-"??_);_(@_)</c:formatCode>
                <c:ptCount val="20"/>
                <c:pt idx="0">
                  <c:v>120</c:v>
                </c:pt>
                <c:pt idx="1">
                  <c:v>118.95263157894736</c:v>
                </c:pt>
                <c:pt idx="2">
                  <c:v>117.8147251461988</c:v>
                </c:pt>
                <c:pt idx="3">
                  <c:v>116.58322088751287</c:v>
                </c:pt>
                <c:pt idx="4">
                  <c:v>115.25502391895422</c:v>
                </c:pt>
                <c:pt idx="5">
                  <c:v>113.82702142134204</c:v>
                </c:pt>
                <c:pt idx="6">
                  <c:v>112.29610747469961</c:v>
                </c:pt>
                <c:pt idx="7">
                  <c:v>110.65921938128442</c:v>
                </c:pt>
                <c:pt idx="8">
                  <c:v>108.91339155718873</c:v>
                </c:pt>
                <c:pt idx="9">
                  <c:v>107.05583707272524</c:v>
                </c:pt>
                <c:pt idx="10">
                  <c:v>105.08407419782645</c:v>
                </c:pt>
                <c:pt idx="11">
                  <c:v>102.99612919415719</c:v>
                </c:pt>
                <c:pt idx="12">
                  <c:v>100.79087464883446</c:v>
                </c:pt>
                <c:pt idx="13">
                  <c:v>98.468623361137873</c:v>
                </c:pt>
                <c:pt idx="14">
                  <c:v>96.032240868130728</c:v>
                </c:pt>
                <c:pt idx="15">
                  <c:v>93.489415335284448</c:v>
                </c:pt>
                <c:pt idx="16">
                  <c:v>90.857861422143159</c:v>
                </c:pt>
                <c:pt idx="17">
                  <c:v>88.179447382302882</c:v>
                </c:pt>
                <c:pt idx="18">
                  <c:v>85.570501749008315</c:v>
                </c:pt>
                <c:pt idx="19">
                  <c:v>85.090105949715621</c:v>
                </c:pt>
              </c:numCache>
            </c:numRef>
          </c:val>
          <c:smooth val="0"/>
        </c:ser>
        <c:dLbls>
          <c:showLegendKey val="0"/>
          <c:showVal val="0"/>
          <c:showCatName val="0"/>
          <c:showSerName val="0"/>
          <c:showPercent val="0"/>
          <c:showBubbleSize val="0"/>
        </c:dLbls>
        <c:marker val="1"/>
        <c:smooth val="0"/>
        <c:axId val="210261504"/>
        <c:axId val="210263424"/>
      </c:lineChart>
      <c:catAx>
        <c:axId val="210261504"/>
        <c:scaling>
          <c:orientation val="minMax"/>
        </c:scaling>
        <c:delete val="0"/>
        <c:axPos val="b"/>
        <c:title>
          <c:tx>
            <c:rich>
              <a:bodyPr/>
              <a:lstStyle/>
              <a:p>
                <a:pPr>
                  <a:defRPr/>
                </a:pPr>
                <a:r>
                  <a:rPr lang="en-NZ" sz="1400"/>
                  <a:t>Year</a:t>
                </a:r>
              </a:p>
              <a:p>
                <a:pPr>
                  <a:defRPr/>
                </a:pPr>
                <a:endParaRPr lang="en-NZ"/>
              </a:p>
            </c:rich>
          </c:tx>
          <c:layout/>
          <c:overlay val="0"/>
        </c:title>
        <c:majorTickMark val="out"/>
        <c:minorTickMark val="none"/>
        <c:tickLblPos val="nextTo"/>
        <c:crossAx val="210263424"/>
        <c:crosses val="autoZero"/>
        <c:auto val="1"/>
        <c:lblAlgn val="ctr"/>
        <c:lblOffset val="100"/>
        <c:noMultiLvlLbl val="0"/>
      </c:catAx>
      <c:valAx>
        <c:axId val="210263424"/>
        <c:scaling>
          <c:orientation val="minMax"/>
        </c:scaling>
        <c:delete val="0"/>
        <c:axPos val="l"/>
        <c:majorGridlines/>
        <c:title>
          <c:tx>
            <c:rich>
              <a:bodyPr rot="0" vert="horz"/>
              <a:lstStyle/>
              <a:p>
                <a:pPr>
                  <a:defRPr/>
                </a:pPr>
                <a:r>
                  <a:rPr lang="en-US" sz="1400"/>
                  <a:t>$M</a:t>
                </a:r>
              </a:p>
            </c:rich>
          </c:tx>
          <c:layout/>
          <c:overlay val="0"/>
        </c:title>
        <c:numFmt formatCode="_(* #,##0.00_);_(* \(#,##0.00\);_(* &quot;-&quot;??_);_(@_)" sourceLinked="1"/>
        <c:majorTickMark val="out"/>
        <c:minorTickMark val="none"/>
        <c:tickLblPos val="nextTo"/>
        <c:crossAx val="21026150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533400</xdr:colOff>
      <xdr:row>31</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tabSelected="1" workbookViewId="0">
      <selection activeCell="L10" sqref="L10"/>
    </sheetView>
  </sheetViews>
  <sheetFormatPr defaultRowHeight="15"/>
  <cols>
    <col min="1" max="1" width="4.28515625" style="30" customWidth="1"/>
    <col min="4" max="4" width="12.5703125" customWidth="1"/>
    <col min="5" max="5" width="2.5703125" style="30" customWidth="1"/>
    <col min="6" max="6" width="7.42578125" style="30" customWidth="1"/>
    <col min="17" max="17" width="14" customWidth="1"/>
  </cols>
  <sheetData>
    <row r="1" spans="1:22" ht="23.25">
      <c r="B1" s="96" t="s">
        <v>106</v>
      </c>
    </row>
    <row r="2" spans="1:22" ht="18">
      <c r="B2" s="84" t="s">
        <v>107</v>
      </c>
    </row>
    <row r="3" spans="1:22" ht="48" customHeight="1">
      <c r="A3" s="85">
        <v>1</v>
      </c>
      <c r="B3" s="286" t="s">
        <v>184</v>
      </c>
      <c r="C3" s="286"/>
      <c r="D3" s="286"/>
      <c r="E3" s="286"/>
      <c r="F3" s="286"/>
      <c r="G3" s="286"/>
      <c r="H3" s="286"/>
      <c r="I3" s="286"/>
      <c r="J3" s="286"/>
      <c r="K3" s="286"/>
      <c r="L3" s="286"/>
      <c r="M3" s="286"/>
      <c r="N3" s="286"/>
      <c r="O3" s="286"/>
      <c r="P3" s="286"/>
      <c r="Q3" s="286"/>
      <c r="R3" s="286"/>
      <c r="S3" s="286"/>
      <c r="T3" s="286"/>
      <c r="U3" s="286"/>
      <c r="V3" s="286"/>
    </row>
    <row r="4" spans="1:22">
      <c r="A4" s="85">
        <v>2</v>
      </c>
      <c r="B4" s="287" t="s">
        <v>108</v>
      </c>
      <c r="C4" s="287"/>
      <c r="D4" s="287"/>
      <c r="E4" s="287"/>
      <c r="F4" s="287"/>
      <c r="G4" s="287"/>
      <c r="H4" s="287"/>
      <c r="I4" s="287"/>
      <c r="J4" s="287"/>
      <c r="K4" s="287"/>
      <c r="L4" s="287"/>
      <c r="M4" s="287"/>
      <c r="N4" s="287"/>
      <c r="O4" s="287"/>
      <c r="P4" s="287"/>
      <c r="Q4" s="287"/>
      <c r="R4" s="287"/>
      <c r="S4" s="287"/>
      <c r="T4" s="287"/>
      <c r="U4" s="287"/>
      <c r="V4" s="287"/>
    </row>
    <row r="5" spans="1:22" s="30" customFormat="1">
      <c r="A5" s="85"/>
      <c r="B5" s="288" t="s">
        <v>113</v>
      </c>
      <c r="C5" s="288"/>
      <c r="D5" s="87"/>
      <c r="E5" s="87"/>
      <c r="F5" s="89" t="s">
        <v>215</v>
      </c>
      <c r="G5" s="288" t="s">
        <v>114</v>
      </c>
      <c r="H5" s="288"/>
      <c r="I5" s="288"/>
      <c r="J5" s="87"/>
      <c r="K5" s="87"/>
      <c r="L5" s="87"/>
      <c r="M5" s="87"/>
      <c r="N5" s="87"/>
      <c r="O5" s="87"/>
      <c r="P5" s="87"/>
      <c r="Q5" s="87"/>
      <c r="R5" s="288" t="s">
        <v>116</v>
      </c>
      <c r="S5" s="288"/>
      <c r="T5" s="87"/>
      <c r="U5" s="87"/>
      <c r="V5" s="87"/>
    </row>
    <row r="6" spans="1:22">
      <c r="B6" s="86" t="s">
        <v>109</v>
      </c>
      <c r="E6" s="187">
        <v>1</v>
      </c>
      <c r="F6" s="187"/>
      <c r="G6" t="s">
        <v>117</v>
      </c>
    </row>
    <row r="7" spans="1:22" s="30" customFormat="1">
      <c r="B7" s="86"/>
      <c r="F7" s="187" t="s">
        <v>223</v>
      </c>
      <c r="G7" s="88" t="s">
        <v>115</v>
      </c>
      <c r="R7" s="30" t="s">
        <v>118</v>
      </c>
    </row>
    <row r="8" spans="1:22" s="30" customFormat="1">
      <c r="B8" s="86"/>
      <c r="F8" s="187" t="s">
        <v>222</v>
      </c>
      <c r="G8" s="88" t="s">
        <v>124</v>
      </c>
      <c r="R8" s="30" t="s">
        <v>125</v>
      </c>
    </row>
    <row r="9" spans="1:22" s="30" customFormat="1">
      <c r="B9" s="86"/>
      <c r="F9" s="187" t="s">
        <v>220</v>
      </c>
      <c r="G9" s="88" t="s">
        <v>217</v>
      </c>
      <c r="R9" s="30" t="s">
        <v>119</v>
      </c>
    </row>
    <row r="10" spans="1:22" s="30" customFormat="1">
      <c r="B10" s="86"/>
      <c r="F10" s="187">
        <v>26</v>
      </c>
      <c r="G10" s="88" t="s">
        <v>239</v>
      </c>
      <c r="R10" s="30" t="s">
        <v>126</v>
      </c>
    </row>
    <row r="11" spans="1:22" s="30" customFormat="1">
      <c r="B11" s="86"/>
      <c r="F11" s="196" t="s">
        <v>221</v>
      </c>
      <c r="G11" s="88" t="s">
        <v>120</v>
      </c>
      <c r="R11" s="30" t="s">
        <v>121</v>
      </c>
    </row>
    <row r="12" spans="1:22" s="30" customFormat="1">
      <c r="B12" s="86"/>
      <c r="E12" s="187">
        <v>2</v>
      </c>
      <c r="F12" s="187" t="s">
        <v>214</v>
      </c>
      <c r="G12" s="62" t="s">
        <v>230</v>
      </c>
      <c r="R12" s="30" t="s">
        <v>130</v>
      </c>
    </row>
    <row r="13" spans="1:22" s="30" customFormat="1">
      <c r="B13" s="86" t="s">
        <v>179</v>
      </c>
      <c r="G13" s="62" t="s">
        <v>185</v>
      </c>
      <c r="R13" s="30" t="s">
        <v>186</v>
      </c>
    </row>
    <row r="14" spans="1:22">
      <c r="B14" s="86" t="s">
        <v>110</v>
      </c>
      <c r="E14" s="187">
        <v>1</v>
      </c>
      <c r="F14" s="187" t="s">
        <v>227</v>
      </c>
      <c r="G14" t="s">
        <v>226</v>
      </c>
      <c r="R14" t="s">
        <v>129</v>
      </c>
    </row>
    <row r="15" spans="1:22" s="30" customFormat="1">
      <c r="B15" s="86"/>
      <c r="E15" s="187">
        <v>2</v>
      </c>
      <c r="F15" s="187" t="s">
        <v>228</v>
      </c>
      <c r="G15" s="30" t="s">
        <v>127</v>
      </c>
      <c r="R15" s="30" t="s">
        <v>128</v>
      </c>
    </row>
    <row r="16" spans="1:22">
      <c r="B16" s="86" t="s">
        <v>111</v>
      </c>
      <c r="G16" t="s">
        <v>225</v>
      </c>
      <c r="R16" t="s">
        <v>123</v>
      </c>
    </row>
    <row r="17" spans="1:22">
      <c r="B17" s="86" t="s">
        <v>112</v>
      </c>
      <c r="G17" s="62" t="s">
        <v>224</v>
      </c>
      <c r="R17" t="s">
        <v>167</v>
      </c>
    </row>
    <row r="19" spans="1:22" s="30" customFormat="1" ht="36.75" customHeight="1">
      <c r="A19" s="85">
        <v>3</v>
      </c>
      <c r="B19" s="286" t="s">
        <v>238</v>
      </c>
      <c r="C19" s="286"/>
      <c r="D19" s="286"/>
      <c r="E19" s="286"/>
      <c r="F19" s="286"/>
      <c r="G19" s="286"/>
      <c r="H19" s="286"/>
      <c r="I19" s="286"/>
      <c r="J19" s="286"/>
      <c r="K19" s="286"/>
      <c r="L19" s="286"/>
      <c r="M19" s="286"/>
      <c r="N19" s="286"/>
      <c r="O19" s="286"/>
      <c r="P19" s="286"/>
      <c r="Q19" s="286"/>
      <c r="R19" s="286"/>
      <c r="S19" s="286"/>
      <c r="T19" s="286"/>
      <c r="U19" s="286"/>
      <c r="V19" s="286"/>
    </row>
    <row r="20" spans="1:22" ht="30.75" customHeight="1">
      <c r="A20" s="85">
        <v>4</v>
      </c>
      <c r="B20" s="286" t="s">
        <v>213</v>
      </c>
      <c r="C20" s="286"/>
      <c r="D20" s="286"/>
      <c r="E20" s="286"/>
      <c r="F20" s="286"/>
      <c r="G20" s="286"/>
      <c r="H20" s="286"/>
      <c r="I20" s="286"/>
      <c r="J20" s="286"/>
      <c r="K20" s="286"/>
      <c r="L20" s="286"/>
      <c r="M20" s="286"/>
      <c r="N20" s="286"/>
      <c r="O20" s="286"/>
      <c r="P20" s="286"/>
      <c r="Q20" s="286"/>
      <c r="R20" s="286"/>
      <c r="S20" s="286"/>
      <c r="T20" s="286"/>
      <c r="U20" s="286"/>
      <c r="V20" s="286"/>
    </row>
    <row r="21" spans="1:22" s="30" customFormat="1" ht="48" customHeight="1">
      <c r="A21" s="85">
        <v>5</v>
      </c>
      <c r="B21" s="286" t="s">
        <v>237</v>
      </c>
      <c r="C21" s="286"/>
      <c r="D21" s="286"/>
      <c r="E21" s="286"/>
      <c r="F21" s="286"/>
      <c r="G21" s="286"/>
      <c r="H21" s="286"/>
      <c r="I21" s="286"/>
      <c r="J21" s="286"/>
      <c r="K21" s="286"/>
      <c r="L21" s="286"/>
      <c r="M21" s="286"/>
      <c r="N21" s="286"/>
      <c r="O21" s="286"/>
      <c r="P21" s="286"/>
      <c r="Q21" s="286"/>
      <c r="R21" s="286"/>
      <c r="S21" s="286"/>
      <c r="T21" s="286"/>
      <c r="U21" s="286"/>
      <c r="V21" s="286"/>
    </row>
    <row r="22" spans="1:22">
      <c r="A22" s="80">
        <v>6</v>
      </c>
      <c r="B22" t="s">
        <v>233</v>
      </c>
      <c r="F22" s="253"/>
    </row>
  </sheetData>
  <sheetProtection sheet="1" objects="1" scenarios="1"/>
  <mergeCells count="8">
    <mergeCell ref="B20:V20"/>
    <mergeCell ref="B3:V3"/>
    <mergeCell ref="B19:V19"/>
    <mergeCell ref="B21:V21"/>
    <mergeCell ref="B4:V4"/>
    <mergeCell ref="B5:C5"/>
    <mergeCell ref="G5:I5"/>
    <mergeCell ref="R5:S5"/>
  </mergeCells>
  <hyperlinks>
    <hyperlink ref="B6" location="'Tax calcs'!A1" display="'Tax calcs'!A1"/>
    <hyperlink ref="B14" location="'Cost allocation adjustment'!A1" display="'Cost allocation adjustment'!A1"/>
    <hyperlink ref="B16" location="'Amortisation of sold asset'!A1" display="'Amortisation of sold asset'!A1"/>
    <hyperlink ref="B17" location="'DTB of sold asset'!A1" display="'DTB of sold asset'!A1"/>
    <hyperlink ref="B13" location="'Comparison of cashflows'!A1" display="Comparison of cashflow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H100"/>
  <sheetViews>
    <sheetView showGridLines="0" topLeftCell="A2" zoomScaleNormal="100" zoomScaleSheetLayoutView="100" workbookViewId="0">
      <selection activeCell="E16" sqref="E16"/>
    </sheetView>
  </sheetViews>
  <sheetFormatPr defaultRowHeight="15"/>
  <cols>
    <col min="1" max="1" width="1.5703125" style="22" customWidth="1"/>
    <col min="2" max="2" width="23.7109375" style="22" customWidth="1"/>
    <col min="3" max="3" width="22.7109375" style="22" customWidth="1"/>
    <col min="4" max="4" width="14.85546875" style="22" customWidth="1"/>
    <col min="5" max="5" width="17.5703125" style="22" customWidth="1"/>
    <col min="6" max="6" width="10.28515625" style="22" bestFit="1" customWidth="1"/>
    <col min="7" max="7" width="10.42578125" style="22" bestFit="1" customWidth="1"/>
    <col min="8" max="8" width="9.85546875" style="22" customWidth="1"/>
    <col min="9" max="25" width="9.28515625" style="22" bestFit="1" customWidth="1"/>
    <col min="26" max="256" width="9.140625" style="22"/>
    <col min="257" max="257" width="3.5703125" style="22" customWidth="1"/>
    <col min="258" max="258" width="9.140625" style="22"/>
    <col min="259" max="259" width="22.5703125" style="22" customWidth="1"/>
    <col min="260" max="260" width="9.28515625" style="22" bestFit="1" customWidth="1"/>
    <col min="261" max="261" width="10.28515625" style="22" bestFit="1" customWidth="1"/>
    <col min="262" max="279" width="9.140625" style="22"/>
    <col min="280" max="281" width="0" style="22" hidden="1" customWidth="1"/>
    <col min="282" max="512" width="9.140625" style="22"/>
    <col min="513" max="513" width="3.5703125" style="22" customWidth="1"/>
    <col min="514" max="514" width="9.140625" style="22"/>
    <col min="515" max="515" width="22.5703125" style="22" customWidth="1"/>
    <col min="516" max="516" width="9.28515625" style="22" bestFit="1" customWidth="1"/>
    <col min="517" max="517" width="10.28515625" style="22" bestFit="1" customWidth="1"/>
    <col min="518" max="535" width="9.140625" style="22"/>
    <col min="536" max="537" width="0" style="22" hidden="1" customWidth="1"/>
    <col min="538" max="768" width="9.140625" style="22"/>
    <col min="769" max="769" width="3.5703125" style="22" customWidth="1"/>
    <col min="770" max="770" width="9.140625" style="22"/>
    <col min="771" max="771" width="22.5703125" style="22" customWidth="1"/>
    <col min="772" max="772" width="9.28515625" style="22" bestFit="1" customWidth="1"/>
    <col min="773" max="773" width="10.28515625" style="22" bestFit="1" customWidth="1"/>
    <col min="774" max="791" width="9.140625" style="22"/>
    <col min="792" max="793" width="0" style="22" hidden="1" customWidth="1"/>
    <col min="794" max="1024" width="9.140625" style="22"/>
    <col min="1025" max="1025" width="3.5703125" style="22" customWidth="1"/>
    <col min="1026" max="1026" width="9.140625" style="22"/>
    <col min="1027" max="1027" width="22.5703125" style="22" customWidth="1"/>
    <col min="1028" max="1028" width="9.28515625" style="22" bestFit="1" customWidth="1"/>
    <col min="1029" max="1029" width="10.28515625" style="22" bestFit="1" customWidth="1"/>
    <col min="1030" max="1047" width="9.140625" style="22"/>
    <col min="1048" max="1049" width="0" style="22" hidden="1" customWidth="1"/>
    <col min="1050" max="1280" width="9.140625" style="22"/>
    <col min="1281" max="1281" width="3.5703125" style="22" customWidth="1"/>
    <col min="1282" max="1282" width="9.140625" style="22"/>
    <col min="1283" max="1283" width="22.5703125" style="22" customWidth="1"/>
    <col min="1284" max="1284" width="9.28515625" style="22" bestFit="1" customWidth="1"/>
    <col min="1285" max="1285" width="10.28515625" style="22" bestFit="1" customWidth="1"/>
    <col min="1286" max="1303" width="9.140625" style="22"/>
    <col min="1304" max="1305" width="0" style="22" hidden="1" customWidth="1"/>
    <col min="1306" max="1536" width="9.140625" style="22"/>
    <col min="1537" max="1537" width="3.5703125" style="22" customWidth="1"/>
    <col min="1538" max="1538" width="9.140625" style="22"/>
    <col min="1539" max="1539" width="22.5703125" style="22" customWidth="1"/>
    <col min="1540" max="1540" width="9.28515625" style="22" bestFit="1" customWidth="1"/>
    <col min="1541" max="1541" width="10.28515625" style="22" bestFit="1" customWidth="1"/>
    <col min="1542" max="1559" width="9.140625" style="22"/>
    <col min="1560" max="1561" width="0" style="22" hidden="1" customWidth="1"/>
    <col min="1562" max="1792" width="9.140625" style="22"/>
    <col min="1793" max="1793" width="3.5703125" style="22" customWidth="1"/>
    <col min="1794" max="1794" width="9.140625" style="22"/>
    <col min="1795" max="1795" width="22.5703125" style="22" customWidth="1"/>
    <col min="1796" max="1796" width="9.28515625" style="22" bestFit="1" customWidth="1"/>
    <col min="1797" max="1797" width="10.28515625" style="22" bestFit="1" customWidth="1"/>
    <col min="1798" max="1815" width="9.140625" style="22"/>
    <col min="1816" max="1817" width="0" style="22" hidden="1" customWidth="1"/>
    <col min="1818" max="2048" width="9.140625" style="22"/>
    <col min="2049" max="2049" width="3.5703125" style="22" customWidth="1"/>
    <col min="2050" max="2050" width="9.140625" style="22"/>
    <col min="2051" max="2051" width="22.5703125" style="22" customWidth="1"/>
    <col min="2052" max="2052" width="9.28515625" style="22" bestFit="1" customWidth="1"/>
    <col min="2053" max="2053" width="10.28515625" style="22" bestFit="1" customWidth="1"/>
    <col min="2054" max="2071" width="9.140625" style="22"/>
    <col min="2072" max="2073" width="0" style="22" hidden="1" customWidth="1"/>
    <col min="2074" max="2304" width="9.140625" style="22"/>
    <col min="2305" max="2305" width="3.5703125" style="22" customWidth="1"/>
    <col min="2306" max="2306" width="9.140625" style="22"/>
    <col min="2307" max="2307" width="22.5703125" style="22" customWidth="1"/>
    <col min="2308" max="2308" width="9.28515625" style="22" bestFit="1" customWidth="1"/>
    <col min="2309" max="2309" width="10.28515625" style="22" bestFit="1" customWidth="1"/>
    <col min="2310" max="2327" width="9.140625" style="22"/>
    <col min="2328" max="2329" width="0" style="22" hidden="1" customWidth="1"/>
    <col min="2330" max="2560" width="9.140625" style="22"/>
    <col min="2561" max="2561" width="3.5703125" style="22" customWidth="1"/>
    <col min="2562" max="2562" width="9.140625" style="22"/>
    <col min="2563" max="2563" width="22.5703125" style="22" customWidth="1"/>
    <col min="2564" max="2564" width="9.28515625" style="22" bestFit="1" customWidth="1"/>
    <col min="2565" max="2565" width="10.28515625" style="22" bestFit="1" customWidth="1"/>
    <col min="2566" max="2583" width="9.140625" style="22"/>
    <col min="2584" max="2585" width="0" style="22" hidden="1" customWidth="1"/>
    <col min="2586" max="2816" width="9.140625" style="22"/>
    <col min="2817" max="2817" width="3.5703125" style="22" customWidth="1"/>
    <col min="2818" max="2818" width="9.140625" style="22"/>
    <col min="2819" max="2819" width="22.5703125" style="22" customWidth="1"/>
    <col min="2820" max="2820" width="9.28515625" style="22" bestFit="1" customWidth="1"/>
    <col min="2821" max="2821" width="10.28515625" style="22" bestFit="1" customWidth="1"/>
    <col min="2822" max="2839" width="9.140625" style="22"/>
    <col min="2840" max="2841" width="0" style="22" hidden="1" customWidth="1"/>
    <col min="2842" max="3072" width="9.140625" style="22"/>
    <col min="3073" max="3073" width="3.5703125" style="22" customWidth="1"/>
    <col min="3074" max="3074" width="9.140625" style="22"/>
    <col min="3075" max="3075" width="22.5703125" style="22" customWidth="1"/>
    <col min="3076" max="3076" width="9.28515625" style="22" bestFit="1" customWidth="1"/>
    <col min="3077" max="3077" width="10.28515625" style="22" bestFit="1" customWidth="1"/>
    <col min="3078" max="3095" width="9.140625" style="22"/>
    <col min="3096" max="3097" width="0" style="22" hidden="1" customWidth="1"/>
    <col min="3098" max="3328" width="9.140625" style="22"/>
    <col min="3329" max="3329" width="3.5703125" style="22" customWidth="1"/>
    <col min="3330" max="3330" width="9.140625" style="22"/>
    <col min="3331" max="3331" width="22.5703125" style="22" customWidth="1"/>
    <col min="3332" max="3332" width="9.28515625" style="22" bestFit="1" customWidth="1"/>
    <col min="3333" max="3333" width="10.28515625" style="22" bestFit="1" customWidth="1"/>
    <col min="3334" max="3351" width="9.140625" style="22"/>
    <col min="3352" max="3353" width="0" style="22" hidden="1" customWidth="1"/>
    <col min="3354" max="3584" width="9.140625" style="22"/>
    <col min="3585" max="3585" width="3.5703125" style="22" customWidth="1"/>
    <col min="3586" max="3586" width="9.140625" style="22"/>
    <col min="3587" max="3587" width="22.5703125" style="22" customWidth="1"/>
    <col min="3588" max="3588" width="9.28515625" style="22" bestFit="1" customWidth="1"/>
    <col min="3589" max="3589" width="10.28515625" style="22" bestFit="1" customWidth="1"/>
    <col min="3590" max="3607" width="9.140625" style="22"/>
    <col min="3608" max="3609" width="0" style="22" hidden="1" customWidth="1"/>
    <col min="3610" max="3840" width="9.140625" style="22"/>
    <col min="3841" max="3841" width="3.5703125" style="22" customWidth="1"/>
    <col min="3842" max="3842" width="9.140625" style="22"/>
    <col min="3843" max="3843" width="22.5703125" style="22" customWidth="1"/>
    <col min="3844" max="3844" width="9.28515625" style="22" bestFit="1" customWidth="1"/>
    <col min="3845" max="3845" width="10.28515625" style="22" bestFit="1" customWidth="1"/>
    <col min="3846" max="3863" width="9.140625" style="22"/>
    <col min="3864" max="3865" width="0" style="22" hidden="1" customWidth="1"/>
    <col min="3866" max="4096" width="9.140625" style="22"/>
    <col min="4097" max="4097" width="3.5703125" style="22" customWidth="1"/>
    <col min="4098" max="4098" width="9.140625" style="22"/>
    <col min="4099" max="4099" width="22.5703125" style="22" customWidth="1"/>
    <col min="4100" max="4100" width="9.28515625" style="22" bestFit="1" customWidth="1"/>
    <col min="4101" max="4101" width="10.28515625" style="22" bestFit="1" customWidth="1"/>
    <col min="4102" max="4119" width="9.140625" style="22"/>
    <col min="4120" max="4121" width="0" style="22" hidden="1" customWidth="1"/>
    <col min="4122" max="4352" width="9.140625" style="22"/>
    <col min="4353" max="4353" width="3.5703125" style="22" customWidth="1"/>
    <col min="4354" max="4354" width="9.140625" style="22"/>
    <col min="4355" max="4355" width="22.5703125" style="22" customWidth="1"/>
    <col min="4356" max="4356" width="9.28515625" style="22" bestFit="1" customWidth="1"/>
    <col min="4357" max="4357" width="10.28515625" style="22" bestFit="1" customWidth="1"/>
    <col min="4358" max="4375" width="9.140625" style="22"/>
    <col min="4376" max="4377" width="0" style="22" hidden="1" customWidth="1"/>
    <col min="4378" max="4608" width="9.140625" style="22"/>
    <col min="4609" max="4609" width="3.5703125" style="22" customWidth="1"/>
    <col min="4610" max="4610" width="9.140625" style="22"/>
    <col min="4611" max="4611" width="22.5703125" style="22" customWidth="1"/>
    <col min="4612" max="4612" width="9.28515625" style="22" bestFit="1" customWidth="1"/>
    <col min="4613" max="4613" width="10.28515625" style="22" bestFit="1" customWidth="1"/>
    <col min="4614" max="4631" width="9.140625" style="22"/>
    <col min="4632" max="4633" width="0" style="22" hidden="1" customWidth="1"/>
    <col min="4634" max="4864" width="9.140625" style="22"/>
    <col min="4865" max="4865" width="3.5703125" style="22" customWidth="1"/>
    <col min="4866" max="4866" width="9.140625" style="22"/>
    <col min="4867" max="4867" width="22.5703125" style="22" customWidth="1"/>
    <col min="4868" max="4868" width="9.28515625" style="22" bestFit="1" customWidth="1"/>
    <col min="4869" max="4869" width="10.28515625" style="22" bestFit="1" customWidth="1"/>
    <col min="4870" max="4887" width="9.140625" style="22"/>
    <col min="4888" max="4889" width="0" style="22" hidden="1" customWidth="1"/>
    <col min="4890" max="5120" width="9.140625" style="22"/>
    <col min="5121" max="5121" width="3.5703125" style="22" customWidth="1"/>
    <col min="5122" max="5122" width="9.140625" style="22"/>
    <col min="5123" max="5123" width="22.5703125" style="22" customWidth="1"/>
    <col min="5124" max="5124" width="9.28515625" style="22" bestFit="1" customWidth="1"/>
    <col min="5125" max="5125" width="10.28515625" style="22" bestFit="1" customWidth="1"/>
    <col min="5126" max="5143" width="9.140625" style="22"/>
    <col min="5144" max="5145" width="0" style="22" hidden="1" customWidth="1"/>
    <col min="5146" max="5376" width="9.140625" style="22"/>
    <col min="5377" max="5377" width="3.5703125" style="22" customWidth="1"/>
    <col min="5378" max="5378" width="9.140625" style="22"/>
    <col min="5379" max="5379" width="22.5703125" style="22" customWidth="1"/>
    <col min="5380" max="5380" width="9.28515625" style="22" bestFit="1" customWidth="1"/>
    <col min="5381" max="5381" width="10.28515625" style="22" bestFit="1" customWidth="1"/>
    <col min="5382" max="5399" width="9.140625" style="22"/>
    <col min="5400" max="5401" width="0" style="22" hidden="1" customWidth="1"/>
    <col min="5402" max="5632" width="9.140625" style="22"/>
    <col min="5633" max="5633" width="3.5703125" style="22" customWidth="1"/>
    <col min="5634" max="5634" width="9.140625" style="22"/>
    <col min="5635" max="5635" width="22.5703125" style="22" customWidth="1"/>
    <col min="5636" max="5636" width="9.28515625" style="22" bestFit="1" customWidth="1"/>
    <col min="5637" max="5637" width="10.28515625" style="22" bestFit="1" customWidth="1"/>
    <col min="5638" max="5655" width="9.140625" style="22"/>
    <col min="5656" max="5657" width="0" style="22" hidden="1" customWidth="1"/>
    <col min="5658" max="5888" width="9.140625" style="22"/>
    <col min="5889" max="5889" width="3.5703125" style="22" customWidth="1"/>
    <col min="5890" max="5890" width="9.140625" style="22"/>
    <col min="5891" max="5891" width="22.5703125" style="22" customWidth="1"/>
    <col min="5892" max="5892" width="9.28515625" style="22" bestFit="1" customWidth="1"/>
    <col min="5893" max="5893" width="10.28515625" style="22" bestFit="1" customWidth="1"/>
    <col min="5894" max="5911" width="9.140625" style="22"/>
    <col min="5912" max="5913" width="0" style="22" hidden="1" customWidth="1"/>
    <col min="5914" max="6144" width="9.140625" style="22"/>
    <col min="6145" max="6145" width="3.5703125" style="22" customWidth="1"/>
    <col min="6146" max="6146" width="9.140625" style="22"/>
    <col min="6147" max="6147" width="22.5703125" style="22" customWidth="1"/>
    <col min="6148" max="6148" width="9.28515625" style="22" bestFit="1" customWidth="1"/>
    <col min="6149" max="6149" width="10.28515625" style="22" bestFit="1" customWidth="1"/>
    <col min="6150" max="6167" width="9.140625" style="22"/>
    <col min="6168" max="6169" width="0" style="22" hidden="1" customWidth="1"/>
    <col min="6170" max="6400" width="9.140625" style="22"/>
    <col min="6401" max="6401" width="3.5703125" style="22" customWidth="1"/>
    <col min="6402" max="6402" width="9.140625" style="22"/>
    <col min="6403" max="6403" width="22.5703125" style="22" customWidth="1"/>
    <col min="6404" max="6404" width="9.28515625" style="22" bestFit="1" customWidth="1"/>
    <col min="6405" max="6405" width="10.28515625" style="22" bestFit="1" customWidth="1"/>
    <col min="6406" max="6423" width="9.140625" style="22"/>
    <col min="6424" max="6425" width="0" style="22" hidden="1" customWidth="1"/>
    <col min="6426" max="6656" width="9.140625" style="22"/>
    <col min="6657" max="6657" width="3.5703125" style="22" customWidth="1"/>
    <col min="6658" max="6658" width="9.140625" style="22"/>
    <col min="6659" max="6659" width="22.5703125" style="22" customWidth="1"/>
    <col min="6660" max="6660" width="9.28515625" style="22" bestFit="1" customWidth="1"/>
    <col min="6661" max="6661" width="10.28515625" style="22" bestFit="1" customWidth="1"/>
    <col min="6662" max="6679" width="9.140625" style="22"/>
    <col min="6680" max="6681" width="0" style="22" hidden="1" customWidth="1"/>
    <col min="6682" max="6912" width="9.140625" style="22"/>
    <col min="6913" max="6913" width="3.5703125" style="22" customWidth="1"/>
    <col min="6914" max="6914" width="9.140625" style="22"/>
    <col min="6915" max="6915" width="22.5703125" style="22" customWidth="1"/>
    <col min="6916" max="6916" width="9.28515625" style="22" bestFit="1" customWidth="1"/>
    <col min="6917" max="6917" width="10.28515625" style="22" bestFit="1" customWidth="1"/>
    <col min="6918" max="6935" width="9.140625" style="22"/>
    <col min="6936" max="6937" width="0" style="22" hidden="1" customWidth="1"/>
    <col min="6938" max="7168" width="9.140625" style="22"/>
    <col min="7169" max="7169" width="3.5703125" style="22" customWidth="1"/>
    <col min="7170" max="7170" width="9.140625" style="22"/>
    <col min="7171" max="7171" width="22.5703125" style="22" customWidth="1"/>
    <col min="7172" max="7172" width="9.28515625" style="22" bestFit="1" customWidth="1"/>
    <col min="7173" max="7173" width="10.28515625" style="22" bestFit="1" customWidth="1"/>
    <col min="7174" max="7191" width="9.140625" style="22"/>
    <col min="7192" max="7193" width="0" style="22" hidden="1" customWidth="1"/>
    <col min="7194" max="7424" width="9.140625" style="22"/>
    <col min="7425" max="7425" width="3.5703125" style="22" customWidth="1"/>
    <col min="7426" max="7426" width="9.140625" style="22"/>
    <col min="7427" max="7427" width="22.5703125" style="22" customWidth="1"/>
    <col min="7428" max="7428" width="9.28515625" style="22" bestFit="1" customWidth="1"/>
    <col min="7429" max="7429" width="10.28515625" style="22" bestFit="1" customWidth="1"/>
    <col min="7430" max="7447" width="9.140625" style="22"/>
    <col min="7448" max="7449" width="0" style="22" hidden="1" customWidth="1"/>
    <col min="7450" max="7680" width="9.140625" style="22"/>
    <col min="7681" max="7681" width="3.5703125" style="22" customWidth="1"/>
    <col min="7682" max="7682" width="9.140625" style="22"/>
    <col min="7683" max="7683" width="22.5703125" style="22" customWidth="1"/>
    <col min="7684" max="7684" width="9.28515625" style="22" bestFit="1" customWidth="1"/>
    <col min="7685" max="7685" width="10.28515625" style="22" bestFit="1" customWidth="1"/>
    <col min="7686" max="7703" width="9.140625" style="22"/>
    <col min="7704" max="7705" width="0" style="22" hidden="1" customWidth="1"/>
    <col min="7706" max="7936" width="9.140625" style="22"/>
    <col min="7937" max="7937" width="3.5703125" style="22" customWidth="1"/>
    <col min="7938" max="7938" width="9.140625" style="22"/>
    <col min="7939" max="7939" width="22.5703125" style="22" customWidth="1"/>
    <col min="7940" max="7940" width="9.28515625" style="22" bestFit="1" customWidth="1"/>
    <col min="7941" max="7941" width="10.28515625" style="22" bestFit="1" customWidth="1"/>
    <col min="7942" max="7959" width="9.140625" style="22"/>
    <col min="7960" max="7961" width="0" style="22" hidden="1" customWidth="1"/>
    <col min="7962" max="8192" width="9.140625" style="22"/>
    <col min="8193" max="8193" width="3.5703125" style="22" customWidth="1"/>
    <col min="8194" max="8194" width="9.140625" style="22"/>
    <col min="8195" max="8195" width="22.5703125" style="22" customWidth="1"/>
    <col min="8196" max="8196" width="9.28515625" style="22" bestFit="1" customWidth="1"/>
    <col min="8197" max="8197" width="10.28515625" style="22" bestFit="1" customWidth="1"/>
    <col min="8198" max="8215" width="9.140625" style="22"/>
    <col min="8216" max="8217" width="0" style="22" hidden="1" customWidth="1"/>
    <col min="8218" max="8448" width="9.140625" style="22"/>
    <col min="8449" max="8449" width="3.5703125" style="22" customWidth="1"/>
    <col min="8450" max="8450" width="9.140625" style="22"/>
    <col min="8451" max="8451" width="22.5703125" style="22" customWidth="1"/>
    <col min="8452" max="8452" width="9.28515625" style="22" bestFit="1" customWidth="1"/>
    <col min="8453" max="8453" width="10.28515625" style="22" bestFit="1" customWidth="1"/>
    <col min="8454" max="8471" width="9.140625" style="22"/>
    <col min="8472" max="8473" width="0" style="22" hidden="1" customWidth="1"/>
    <col min="8474" max="8704" width="9.140625" style="22"/>
    <col min="8705" max="8705" width="3.5703125" style="22" customWidth="1"/>
    <col min="8706" max="8706" width="9.140625" style="22"/>
    <col min="8707" max="8707" width="22.5703125" style="22" customWidth="1"/>
    <col min="8708" max="8708" width="9.28515625" style="22" bestFit="1" customWidth="1"/>
    <col min="8709" max="8709" width="10.28515625" style="22" bestFit="1" customWidth="1"/>
    <col min="8710" max="8727" width="9.140625" style="22"/>
    <col min="8728" max="8729" width="0" style="22" hidden="1" customWidth="1"/>
    <col min="8730" max="8960" width="9.140625" style="22"/>
    <col min="8961" max="8961" width="3.5703125" style="22" customWidth="1"/>
    <col min="8962" max="8962" width="9.140625" style="22"/>
    <col min="8963" max="8963" width="22.5703125" style="22" customWidth="1"/>
    <col min="8964" max="8964" width="9.28515625" style="22" bestFit="1" customWidth="1"/>
    <col min="8965" max="8965" width="10.28515625" style="22" bestFit="1" customWidth="1"/>
    <col min="8966" max="8983" width="9.140625" style="22"/>
    <col min="8984" max="8985" width="0" style="22" hidden="1" customWidth="1"/>
    <col min="8986" max="9216" width="9.140625" style="22"/>
    <col min="9217" max="9217" width="3.5703125" style="22" customWidth="1"/>
    <col min="9218" max="9218" width="9.140625" style="22"/>
    <col min="9219" max="9219" width="22.5703125" style="22" customWidth="1"/>
    <col min="9220" max="9220" width="9.28515625" style="22" bestFit="1" customWidth="1"/>
    <col min="9221" max="9221" width="10.28515625" style="22" bestFit="1" customWidth="1"/>
    <col min="9222" max="9239" width="9.140625" style="22"/>
    <col min="9240" max="9241" width="0" style="22" hidden="1" customWidth="1"/>
    <col min="9242" max="9472" width="9.140625" style="22"/>
    <col min="9473" max="9473" width="3.5703125" style="22" customWidth="1"/>
    <col min="9474" max="9474" width="9.140625" style="22"/>
    <col min="9475" max="9475" width="22.5703125" style="22" customWidth="1"/>
    <col min="9476" max="9476" width="9.28515625" style="22" bestFit="1" customWidth="1"/>
    <col min="9477" max="9477" width="10.28515625" style="22" bestFit="1" customWidth="1"/>
    <col min="9478" max="9495" width="9.140625" style="22"/>
    <col min="9496" max="9497" width="0" style="22" hidden="1" customWidth="1"/>
    <col min="9498" max="9728" width="9.140625" style="22"/>
    <col min="9729" max="9729" width="3.5703125" style="22" customWidth="1"/>
    <col min="9730" max="9730" width="9.140625" style="22"/>
    <col min="9731" max="9731" width="22.5703125" style="22" customWidth="1"/>
    <col min="9732" max="9732" width="9.28515625" style="22" bestFit="1" customWidth="1"/>
    <col min="9733" max="9733" width="10.28515625" style="22" bestFit="1" customWidth="1"/>
    <col min="9734" max="9751" width="9.140625" style="22"/>
    <col min="9752" max="9753" width="0" style="22" hidden="1" customWidth="1"/>
    <col min="9754" max="9984" width="9.140625" style="22"/>
    <col min="9985" max="9985" width="3.5703125" style="22" customWidth="1"/>
    <col min="9986" max="9986" width="9.140625" style="22"/>
    <col min="9987" max="9987" width="22.5703125" style="22" customWidth="1"/>
    <col min="9988" max="9988" width="9.28515625" style="22" bestFit="1" customWidth="1"/>
    <col min="9989" max="9989" width="10.28515625" style="22" bestFit="1" customWidth="1"/>
    <col min="9990" max="10007" width="9.140625" style="22"/>
    <col min="10008" max="10009" width="0" style="22" hidden="1" customWidth="1"/>
    <col min="10010" max="10240" width="9.140625" style="22"/>
    <col min="10241" max="10241" width="3.5703125" style="22" customWidth="1"/>
    <col min="10242" max="10242" width="9.140625" style="22"/>
    <col min="10243" max="10243" width="22.5703125" style="22" customWidth="1"/>
    <col min="10244" max="10244" width="9.28515625" style="22" bestFit="1" customWidth="1"/>
    <col min="10245" max="10245" width="10.28515625" style="22" bestFit="1" customWidth="1"/>
    <col min="10246" max="10263" width="9.140625" style="22"/>
    <col min="10264" max="10265" width="0" style="22" hidden="1" customWidth="1"/>
    <col min="10266" max="10496" width="9.140625" style="22"/>
    <col min="10497" max="10497" width="3.5703125" style="22" customWidth="1"/>
    <col min="10498" max="10498" width="9.140625" style="22"/>
    <col min="10499" max="10499" width="22.5703125" style="22" customWidth="1"/>
    <col min="10500" max="10500" width="9.28515625" style="22" bestFit="1" customWidth="1"/>
    <col min="10501" max="10501" width="10.28515625" style="22" bestFit="1" customWidth="1"/>
    <col min="10502" max="10519" width="9.140625" style="22"/>
    <col min="10520" max="10521" width="0" style="22" hidden="1" customWidth="1"/>
    <col min="10522" max="10752" width="9.140625" style="22"/>
    <col min="10753" max="10753" width="3.5703125" style="22" customWidth="1"/>
    <col min="10754" max="10754" width="9.140625" style="22"/>
    <col min="10755" max="10755" width="22.5703125" style="22" customWidth="1"/>
    <col min="10756" max="10756" width="9.28515625" style="22" bestFit="1" customWidth="1"/>
    <col min="10757" max="10757" width="10.28515625" style="22" bestFit="1" customWidth="1"/>
    <col min="10758" max="10775" width="9.140625" style="22"/>
    <col min="10776" max="10777" width="0" style="22" hidden="1" customWidth="1"/>
    <col min="10778" max="11008" width="9.140625" style="22"/>
    <col min="11009" max="11009" width="3.5703125" style="22" customWidth="1"/>
    <col min="11010" max="11010" width="9.140625" style="22"/>
    <col min="11011" max="11011" width="22.5703125" style="22" customWidth="1"/>
    <col min="11012" max="11012" width="9.28515625" style="22" bestFit="1" customWidth="1"/>
    <col min="11013" max="11013" width="10.28515625" style="22" bestFit="1" customWidth="1"/>
    <col min="11014" max="11031" width="9.140625" style="22"/>
    <col min="11032" max="11033" width="0" style="22" hidden="1" customWidth="1"/>
    <col min="11034" max="11264" width="9.140625" style="22"/>
    <col min="11265" max="11265" width="3.5703125" style="22" customWidth="1"/>
    <col min="11266" max="11266" width="9.140625" style="22"/>
    <col min="11267" max="11267" width="22.5703125" style="22" customWidth="1"/>
    <col min="11268" max="11268" width="9.28515625" style="22" bestFit="1" customWidth="1"/>
    <col min="11269" max="11269" width="10.28515625" style="22" bestFit="1" customWidth="1"/>
    <col min="11270" max="11287" width="9.140625" style="22"/>
    <col min="11288" max="11289" width="0" style="22" hidden="1" customWidth="1"/>
    <col min="11290" max="11520" width="9.140625" style="22"/>
    <col min="11521" max="11521" width="3.5703125" style="22" customWidth="1"/>
    <col min="11522" max="11522" width="9.140625" style="22"/>
    <col min="11523" max="11523" width="22.5703125" style="22" customWidth="1"/>
    <col min="11524" max="11524" width="9.28515625" style="22" bestFit="1" customWidth="1"/>
    <col min="11525" max="11525" width="10.28515625" style="22" bestFit="1" customWidth="1"/>
    <col min="11526" max="11543" width="9.140625" style="22"/>
    <col min="11544" max="11545" width="0" style="22" hidden="1" customWidth="1"/>
    <col min="11546" max="11776" width="9.140625" style="22"/>
    <col min="11777" max="11777" width="3.5703125" style="22" customWidth="1"/>
    <col min="11778" max="11778" width="9.140625" style="22"/>
    <col min="11779" max="11779" width="22.5703125" style="22" customWidth="1"/>
    <col min="11780" max="11780" width="9.28515625" style="22" bestFit="1" customWidth="1"/>
    <col min="11781" max="11781" width="10.28515625" style="22" bestFit="1" customWidth="1"/>
    <col min="11782" max="11799" width="9.140625" style="22"/>
    <col min="11800" max="11801" width="0" style="22" hidden="1" customWidth="1"/>
    <col min="11802" max="12032" width="9.140625" style="22"/>
    <col min="12033" max="12033" width="3.5703125" style="22" customWidth="1"/>
    <col min="12034" max="12034" width="9.140625" style="22"/>
    <col min="12035" max="12035" width="22.5703125" style="22" customWidth="1"/>
    <col min="12036" max="12036" width="9.28515625" style="22" bestFit="1" customWidth="1"/>
    <col min="12037" max="12037" width="10.28515625" style="22" bestFit="1" customWidth="1"/>
    <col min="12038" max="12055" width="9.140625" style="22"/>
    <col min="12056" max="12057" width="0" style="22" hidden="1" customWidth="1"/>
    <col min="12058" max="12288" width="9.140625" style="22"/>
    <col min="12289" max="12289" width="3.5703125" style="22" customWidth="1"/>
    <col min="12290" max="12290" width="9.140625" style="22"/>
    <col min="12291" max="12291" width="22.5703125" style="22" customWidth="1"/>
    <col min="12292" max="12292" width="9.28515625" style="22" bestFit="1" customWidth="1"/>
    <col min="12293" max="12293" width="10.28515625" style="22" bestFit="1" customWidth="1"/>
    <col min="12294" max="12311" width="9.140625" style="22"/>
    <col min="12312" max="12313" width="0" style="22" hidden="1" customWidth="1"/>
    <col min="12314" max="12544" width="9.140625" style="22"/>
    <col min="12545" max="12545" width="3.5703125" style="22" customWidth="1"/>
    <col min="12546" max="12546" width="9.140625" style="22"/>
    <col min="12547" max="12547" width="22.5703125" style="22" customWidth="1"/>
    <col min="12548" max="12548" width="9.28515625" style="22" bestFit="1" customWidth="1"/>
    <col min="12549" max="12549" width="10.28515625" style="22" bestFit="1" customWidth="1"/>
    <col min="12550" max="12567" width="9.140625" style="22"/>
    <col min="12568" max="12569" width="0" style="22" hidden="1" customWidth="1"/>
    <col min="12570" max="12800" width="9.140625" style="22"/>
    <col min="12801" max="12801" width="3.5703125" style="22" customWidth="1"/>
    <col min="12802" max="12802" width="9.140625" style="22"/>
    <col min="12803" max="12803" width="22.5703125" style="22" customWidth="1"/>
    <col min="12804" max="12804" width="9.28515625" style="22" bestFit="1" customWidth="1"/>
    <col min="12805" max="12805" width="10.28515625" style="22" bestFit="1" customWidth="1"/>
    <col min="12806" max="12823" width="9.140625" style="22"/>
    <col min="12824" max="12825" width="0" style="22" hidden="1" customWidth="1"/>
    <col min="12826" max="13056" width="9.140625" style="22"/>
    <col min="13057" max="13057" width="3.5703125" style="22" customWidth="1"/>
    <col min="13058" max="13058" width="9.140625" style="22"/>
    <col min="13059" max="13059" width="22.5703125" style="22" customWidth="1"/>
    <col min="13060" max="13060" width="9.28515625" style="22" bestFit="1" customWidth="1"/>
    <col min="13061" max="13061" width="10.28515625" style="22" bestFit="1" customWidth="1"/>
    <col min="13062" max="13079" width="9.140625" style="22"/>
    <col min="13080" max="13081" width="0" style="22" hidden="1" customWidth="1"/>
    <col min="13082" max="13312" width="9.140625" style="22"/>
    <col min="13313" max="13313" width="3.5703125" style="22" customWidth="1"/>
    <col min="13314" max="13314" width="9.140625" style="22"/>
    <col min="13315" max="13315" width="22.5703125" style="22" customWidth="1"/>
    <col min="13316" max="13316" width="9.28515625" style="22" bestFit="1" customWidth="1"/>
    <col min="13317" max="13317" width="10.28515625" style="22" bestFit="1" customWidth="1"/>
    <col min="13318" max="13335" width="9.140625" style="22"/>
    <col min="13336" max="13337" width="0" style="22" hidden="1" customWidth="1"/>
    <col min="13338" max="13568" width="9.140625" style="22"/>
    <col min="13569" max="13569" width="3.5703125" style="22" customWidth="1"/>
    <col min="13570" max="13570" width="9.140625" style="22"/>
    <col min="13571" max="13571" width="22.5703125" style="22" customWidth="1"/>
    <col min="13572" max="13572" width="9.28515625" style="22" bestFit="1" customWidth="1"/>
    <col min="13573" max="13573" width="10.28515625" style="22" bestFit="1" customWidth="1"/>
    <col min="13574" max="13591" width="9.140625" style="22"/>
    <col min="13592" max="13593" width="0" style="22" hidden="1" customWidth="1"/>
    <col min="13594" max="13824" width="9.140625" style="22"/>
    <col min="13825" max="13825" width="3.5703125" style="22" customWidth="1"/>
    <col min="13826" max="13826" width="9.140625" style="22"/>
    <col min="13827" max="13827" width="22.5703125" style="22" customWidth="1"/>
    <col min="13828" max="13828" width="9.28515625" style="22" bestFit="1" customWidth="1"/>
    <col min="13829" max="13829" width="10.28515625" style="22" bestFit="1" customWidth="1"/>
    <col min="13830" max="13847" width="9.140625" style="22"/>
    <col min="13848" max="13849" width="0" style="22" hidden="1" customWidth="1"/>
    <col min="13850" max="14080" width="9.140625" style="22"/>
    <col min="14081" max="14081" width="3.5703125" style="22" customWidth="1"/>
    <col min="14082" max="14082" width="9.140625" style="22"/>
    <col min="14083" max="14083" width="22.5703125" style="22" customWidth="1"/>
    <col min="14084" max="14084" width="9.28515625" style="22" bestFit="1" customWidth="1"/>
    <col min="14085" max="14085" width="10.28515625" style="22" bestFit="1" customWidth="1"/>
    <col min="14086" max="14103" width="9.140625" style="22"/>
    <col min="14104" max="14105" width="0" style="22" hidden="1" customWidth="1"/>
    <col min="14106" max="14336" width="9.140625" style="22"/>
    <col min="14337" max="14337" width="3.5703125" style="22" customWidth="1"/>
    <col min="14338" max="14338" width="9.140625" style="22"/>
    <col min="14339" max="14339" width="22.5703125" style="22" customWidth="1"/>
    <col min="14340" max="14340" width="9.28515625" style="22" bestFit="1" customWidth="1"/>
    <col min="14341" max="14341" width="10.28515625" style="22" bestFit="1" customWidth="1"/>
    <col min="14342" max="14359" width="9.140625" style="22"/>
    <col min="14360" max="14361" width="0" style="22" hidden="1" customWidth="1"/>
    <col min="14362" max="14592" width="9.140625" style="22"/>
    <col min="14593" max="14593" width="3.5703125" style="22" customWidth="1"/>
    <col min="14594" max="14594" width="9.140625" style="22"/>
    <col min="14595" max="14595" width="22.5703125" style="22" customWidth="1"/>
    <col min="14596" max="14596" width="9.28515625" style="22" bestFit="1" customWidth="1"/>
    <col min="14597" max="14597" width="10.28515625" style="22" bestFit="1" customWidth="1"/>
    <col min="14598" max="14615" width="9.140625" style="22"/>
    <col min="14616" max="14617" width="0" style="22" hidden="1" customWidth="1"/>
    <col min="14618" max="14848" width="9.140625" style="22"/>
    <col min="14849" max="14849" width="3.5703125" style="22" customWidth="1"/>
    <col min="14850" max="14850" width="9.140625" style="22"/>
    <col min="14851" max="14851" width="22.5703125" style="22" customWidth="1"/>
    <col min="14852" max="14852" width="9.28515625" style="22" bestFit="1" customWidth="1"/>
    <col min="14853" max="14853" width="10.28515625" style="22" bestFit="1" customWidth="1"/>
    <col min="14854" max="14871" width="9.140625" style="22"/>
    <col min="14872" max="14873" width="0" style="22" hidden="1" customWidth="1"/>
    <col min="14874" max="15104" width="9.140625" style="22"/>
    <col min="15105" max="15105" width="3.5703125" style="22" customWidth="1"/>
    <col min="15106" max="15106" width="9.140625" style="22"/>
    <col min="15107" max="15107" width="22.5703125" style="22" customWidth="1"/>
    <col min="15108" max="15108" width="9.28515625" style="22" bestFit="1" customWidth="1"/>
    <col min="15109" max="15109" width="10.28515625" style="22" bestFit="1" customWidth="1"/>
    <col min="15110" max="15127" width="9.140625" style="22"/>
    <col min="15128" max="15129" width="0" style="22" hidden="1" customWidth="1"/>
    <col min="15130" max="15360" width="9.140625" style="22"/>
    <col min="15361" max="15361" width="3.5703125" style="22" customWidth="1"/>
    <col min="15362" max="15362" width="9.140625" style="22"/>
    <col min="15363" max="15363" width="22.5703125" style="22" customWidth="1"/>
    <col min="15364" max="15364" width="9.28515625" style="22" bestFit="1" customWidth="1"/>
    <col min="15365" max="15365" width="10.28515625" style="22" bestFit="1" customWidth="1"/>
    <col min="15366" max="15383" width="9.140625" style="22"/>
    <col min="15384" max="15385" width="0" style="22" hidden="1" customWidth="1"/>
    <col min="15386" max="15616" width="9.140625" style="22"/>
    <col min="15617" max="15617" width="3.5703125" style="22" customWidth="1"/>
    <col min="15618" max="15618" width="9.140625" style="22"/>
    <col min="15619" max="15619" width="22.5703125" style="22" customWidth="1"/>
    <col min="15620" max="15620" width="9.28515625" style="22" bestFit="1" customWidth="1"/>
    <col min="15621" max="15621" width="10.28515625" style="22" bestFit="1" customWidth="1"/>
    <col min="15622" max="15639" width="9.140625" style="22"/>
    <col min="15640" max="15641" width="0" style="22" hidden="1" customWidth="1"/>
    <col min="15642" max="15872" width="9.140625" style="22"/>
    <col min="15873" max="15873" width="3.5703125" style="22" customWidth="1"/>
    <col min="15874" max="15874" width="9.140625" style="22"/>
    <col min="15875" max="15875" width="22.5703125" style="22" customWidth="1"/>
    <col min="15876" max="15876" width="9.28515625" style="22" bestFit="1" customWidth="1"/>
    <col min="15877" max="15877" width="10.28515625" style="22" bestFit="1" customWidth="1"/>
    <col min="15878" max="15895" width="9.140625" style="22"/>
    <col min="15896" max="15897" width="0" style="22" hidden="1" customWidth="1"/>
    <col min="15898" max="16128" width="9.140625" style="22"/>
    <col min="16129" max="16129" width="3.5703125" style="22" customWidth="1"/>
    <col min="16130" max="16130" width="9.140625" style="22"/>
    <col min="16131" max="16131" width="22.5703125" style="22" customWidth="1"/>
    <col min="16132" max="16132" width="9.28515625" style="22" bestFit="1" customWidth="1"/>
    <col min="16133" max="16133" width="10.28515625" style="22" bestFit="1" customWidth="1"/>
    <col min="16134" max="16151" width="9.140625" style="22"/>
    <col min="16152" max="16153" width="0" style="22" hidden="1" customWidth="1"/>
    <col min="16154" max="16384" width="9.140625" style="22"/>
  </cols>
  <sheetData>
    <row r="1" spans="1:34" ht="28.5">
      <c r="A1" s="57"/>
      <c r="B1" s="56" t="s">
        <v>83</v>
      </c>
      <c r="C1" s="56"/>
      <c r="D1" s="57"/>
      <c r="E1" s="57"/>
      <c r="F1" s="58"/>
      <c r="G1" s="57"/>
      <c r="H1" s="57"/>
      <c r="I1" s="59"/>
      <c r="J1" s="57"/>
      <c r="K1" s="57"/>
      <c r="L1" s="57"/>
      <c r="M1" s="57"/>
      <c r="N1" s="57"/>
      <c r="O1" s="57"/>
      <c r="P1" s="57"/>
      <c r="Q1" s="57"/>
      <c r="R1" s="57"/>
      <c r="S1" s="57"/>
      <c r="T1" s="57"/>
      <c r="U1" s="57"/>
      <c r="V1" s="57"/>
      <c r="W1" s="57"/>
      <c r="X1" s="57"/>
      <c r="Y1" s="57"/>
    </row>
    <row r="2" spans="1:34">
      <c r="A2" s="210"/>
      <c r="B2" s="213" t="s">
        <v>158</v>
      </c>
      <c r="C2" s="213"/>
      <c r="D2" s="214" t="s">
        <v>26</v>
      </c>
      <c r="E2" s="210"/>
      <c r="F2" s="236">
        <v>0.09</v>
      </c>
      <c r="G2" s="210" t="s">
        <v>27</v>
      </c>
      <c r="H2" s="210"/>
      <c r="I2" s="210"/>
      <c r="J2" s="210"/>
      <c r="K2" s="239">
        <v>1200</v>
      </c>
      <c r="L2" s="210" t="s">
        <v>30</v>
      </c>
      <c r="M2" s="210"/>
      <c r="N2" s="210"/>
      <c r="O2" s="210"/>
      <c r="P2" s="227">
        <f>K3-K6</f>
        <v>333.33333333333326</v>
      </c>
      <c r="Q2" s="210"/>
      <c r="R2" s="214"/>
      <c r="S2" s="210"/>
      <c r="T2" s="210"/>
      <c r="U2" s="223"/>
      <c r="V2" s="210"/>
      <c r="W2" s="210"/>
      <c r="X2" s="210"/>
      <c r="Y2" s="221"/>
    </row>
    <row r="3" spans="1:34">
      <c r="A3" s="210"/>
      <c r="B3" s="210"/>
      <c r="C3" s="210"/>
      <c r="D3" s="215" t="s">
        <v>75</v>
      </c>
      <c r="E3" s="210"/>
      <c r="F3" s="237">
        <v>0.44</v>
      </c>
      <c r="G3" s="210" t="s">
        <v>28</v>
      </c>
      <c r="H3" s="210"/>
      <c r="I3" s="210"/>
      <c r="J3" s="210"/>
      <c r="K3" s="239">
        <v>1000</v>
      </c>
      <c r="L3" s="210" t="s">
        <v>31</v>
      </c>
      <c r="M3" s="210"/>
      <c r="N3" s="210"/>
      <c r="O3" s="210"/>
      <c r="P3" s="240">
        <v>0.28000000000000003</v>
      </c>
      <c r="Q3" s="210"/>
      <c r="R3" s="220"/>
      <c r="S3" s="210"/>
      <c r="T3" s="210"/>
      <c r="U3" s="210"/>
      <c r="V3" s="210"/>
      <c r="W3" s="210"/>
      <c r="X3" s="210"/>
      <c r="Y3" s="221"/>
    </row>
    <row r="4" spans="1:34">
      <c r="A4" s="210"/>
      <c r="B4" s="216" t="s">
        <v>159</v>
      </c>
      <c r="C4" s="216"/>
      <c r="D4" s="215" t="s">
        <v>76</v>
      </c>
      <c r="E4" s="210"/>
      <c r="F4" s="237">
        <v>7.0000000000000007E-2</v>
      </c>
      <c r="G4" s="210" t="s">
        <v>50</v>
      </c>
      <c r="H4" s="210"/>
      <c r="I4" s="210"/>
      <c r="J4" s="210"/>
      <c r="K4" s="224">
        <f>K3/K2</f>
        <v>0.83333333333333337</v>
      </c>
      <c r="L4" s="210" t="s">
        <v>32</v>
      </c>
      <c r="M4" s="210"/>
      <c r="N4" s="210"/>
      <c r="O4" s="210"/>
      <c r="P4" s="241">
        <v>81</v>
      </c>
      <c r="Q4" s="210"/>
      <c r="R4" s="210"/>
      <c r="S4" s="210"/>
      <c r="T4" s="210"/>
      <c r="U4" s="210"/>
      <c r="V4" s="210"/>
      <c r="W4" s="210"/>
      <c r="X4" s="210"/>
      <c r="Y4" s="221"/>
    </row>
    <row r="5" spans="1:34">
      <c r="A5" s="210"/>
      <c r="B5" s="235" t="s">
        <v>62</v>
      </c>
      <c r="C5" s="216"/>
      <c r="D5" s="215" t="s">
        <v>34</v>
      </c>
      <c r="E5" s="210"/>
      <c r="F5" s="237">
        <v>0.02</v>
      </c>
      <c r="G5" s="210" t="s">
        <v>49</v>
      </c>
      <c r="H5" s="210"/>
      <c r="I5" s="210"/>
      <c r="J5" s="210"/>
      <c r="K5" s="239">
        <v>800</v>
      </c>
      <c r="L5" s="219" t="s">
        <v>33</v>
      </c>
      <c r="M5" s="220"/>
      <c r="N5" s="220"/>
      <c r="O5" s="221"/>
      <c r="P5" s="226">
        <f>1-((P4/K6)^(1/life))</f>
        <v>0.1000283811895204</v>
      </c>
      <c r="Q5" s="210"/>
      <c r="R5" s="210"/>
      <c r="S5" s="210"/>
      <c r="T5" s="210"/>
      <c r="U5" s="210"/>
      <c r="V5" s="210"/>
      <c r="W5" s="210"/>
      <c r="X5" s="210"/>
      <c r="Y5" s="221"/>
    </row>
    <row r="6" spans="1:34" ht="14.25" customHeight="1">
      <c r="A6" s="212"/>
      <c r="B6" s="212"/>
      <c r="C6" s="212"/>
      <c r="D6" s="217" t="s">
        <v>35</v>
      </c>
      <c r="E6" s="218"/>
      <c r="F6" s="238">
        <v>20</v>
      </c>
      <c r="G6" s="212" t="s">
        <v>29</v>
      </c>
      <c r="H6" s="212"/>
      <c r="I6" s="212"/>
      <c r="J6" s="212"/>
      <c r="K6" s="225">
        <f>K5*K4</f>
        <v>666.66666666666674</v>
      </c>
      <c r="L6" s="222" t="s">
        <v>144</v>
      </c>
      <c r="M6" s="212"/>
      <c r="N6" s="212"/>
      <c r="O6" s="212"/>
      <c r="P6" s="241">
        <v>10</v>
      </c>
      <c r="Q6" s="212"/>
      <c r="R6" s="212"/>
      <c r="S6" s="212"/>
      <c r="T6" s="212"/>
      <c r="U6" s="212"/>
      <c r="V6" s="212"/>
      <c r="W6" s="212"/>
      <c r="X6" s="212"/>
      <c r="Y6" s="218"/>
    </row>
    <row r="7" spans="1:34">
      <c r="A7" s="251"/>
      <c r="B7" s="251"/>
      <c r="C7" s="251"/>
      <c r="D7" s="263"/>
      <c r="E7" s="264" t="s">
        <v>80</v>
      </c>
      <c r="F7" s="60">
        <v>1</v>
      </c>
      <c r="G7" s="60">
        <v>2</v>
      </c>
      <c r="H7" s="60">
        <v>3</v>
      </c>
      <c r="I7" s="60">
        <v>4</v>
      </c>
      <c r="J7" s="60">
        <v>5</v>
      </c>
      <c r="K7" s="60">
        <v>6</v>
      </c>
      <c r="L7" s="60">
        <v>7</v>
      </c>
      <c r="M7" s="60">
        <v>8</v>
      </c>
      <c r="N7" s="60">
        <v>9</v>
      </c>
      <c r="O7" s="60">
        <v>10</v>
      </c>
      <c r="P7" s="60">
        <v>11</v>
      </c>
      <c r="Q7" s="60">
        <v>12</v>
      </c>
      <c r="R7" s="60">
        <v>13</v>
      </c>
      <c r="S7" s="60">
        <v>14</v>
      </c>
      <c r="T7" s="60">
        <v>15</v>
      </c>
      <c r="U7" s="60">
        <v>16</v>
      </c>
      <c r="V7" s="60">
        <v>17</v>
      </c>
      <c r="W7" s="60">
        <v>18</v>
      </c>
      <c r="X7" s="60">
        <v>19</v>
      </c>
      <c r="Y7" s="233">
        <v>20</v>
      </c>
      <c r="Z7" s="24"/>
      <c r="AA7" s="24"/>
    </row>
    <row r="8" spans="1:34">
      <c r="A8" s="57"/>
      <c r="B8" s="92"/>
      <c r="C8" s="92"/>
      <c r="D8" s="93"/>
      <c r="E8" s="93"/>
      <c r="F8" s="94" t="s">
        <v>87</v>
      </c>
      <c r="G8" s="94" t="s">
        <v>87</v>
      </c>
      <c r="H8" s="94" t="s">
        <v>87</v>
      </c>
      <c r="I8" s="94" t="s">
        <v>87</v>
      </c>
      <c r="J8" s="94" t="s">
        <v>87</v>
      </c>
      <c r="K8" s="94" t="s">
        <v>87</v>
      </c>
      <c r="L8" s="94" t="s">
        <v>87</v>
      </c>
      <c r="M8" s="94" t="s">
        <v>87</v>
      </c>
      <c r="N8" s="94" t="s">
        <v>87</v>
      </c>
      <c r="O8" s="94" t="s">
        <v>87</v>
      </c>
      <c r="P8" s="94" t="s">
        <v>87</v>
      </c>
      <c r="Q8" s="94" t="s">
        <v>87</v>
      </c>
      <c r="R8" s="94" t="s">
        <v>87</v>
      </c>
      <c r="S8" s="94" t="s">
        <v>87</v>
      </c>
      <c r="T8" s="94" t="s">
        <v>87</v>
      </c>
      <c r="U8" s="94" t="s">
        <v>87</v>
      </c>
      <c r="V8" s="94" t="s">
        <v>87</v>
      </c>
      <c r="W8" s="94" t="s">
        <v>87</v>
      </c>
      <c r="X8" s="94" t="s">
        <v>87</v>
      </c>
      <c r="Y8" s="234" t="s">
        <v>87</v>
      </c>
      <c r="Z8" s="24"/>
      <c r="AA8" s="24"/>
    </row>
    <row r="9" spans="1:34" ht="15" customHeight="1">
      <c r="A9" s="258"/>
      <c r="B9" s="259" t="s">
        <v>142</v>
      </c>
      <c r="C9" s="259"/>
      <c r="D9" s="254" t="s">
        <v>187</v>
      </c>
      <c r="E9" s="265" t="s">
        <v>152</v>
      </c>
      <c r="F9" s="290" t="s">
        <v>242</v>
      </c>
      <c r="G9" s="290"/>
      <c r="H9" s="290"/>
      <c r="I9" s="290"/>
      <c r="J9" s="290"/>
      <c r="K9" s="290"/>
      <c r="L9" s="290"/>
      <c r="M9" s="290"/>
      <c r="N9" s="290"/>
      <c r="O9" s="290"/>
      <c r="P9" s="290"/>
      <c r="Q9" s="290"/>
      <c r="R9" s="290"/>
      <c r="S9" s="290"/>
      <c r="T9" s="290"/>
      <c r="U9" s="290"/>
      <c r="V9" s="290"/>
      <c r="W9" s="290"/>
      <c r="X9" s="290"/>
      <c r="Y9" s="291"/>
    </row>
    <row r="10" spans="1:34">
      <c r="A10" s="210"/>
      <c r="B10" s="210" t="s">
        <v>136</v>
      </c>
      <c r="C10" s="210"/>
      <c r="D10" s="255" t="s">
        <v>200</v>
      </c>
      <c r="E10" s="255" t="s">
        <v>137</v>
      </c>
      <c r="F10" s="10">
        <f>($K3)/life</f>
        <v>50</v>
      </c>
      <c r="G10" s="10">
        <f t="shared" ref="G10:Y10" si="0">IF(life-F7&lt;=0,0,F14/(life-F7))</f>
        <v>51.05263157894737</v>
      </c>
      <c r="H10" s="10">
        <f t="shared" si="0"/>
        <v>52.130409356725146</v>
      </c>
      <c r="I10" s="10">
        <f t="shared" si="0"/>
        <v>53.234347437220492</v>
      </c>
      <c r="J10" s="10">
        <f t="shared" si="0"/>
        <v>54.365577320261437</v>
      </c>
      <c r="K10" s="10">
        <f t="shared" si="0"/>
        <v>55.525376303093687</v>
      </c>
      <c r="L10" s="10">
        <f t="shared" si="0"/>
        <v>56.715205795302836</v>
      </c>
      <c r="M10" s="10">
        <f t="shared" si="0"/>
        <v>57.936764073970899</v>
      </c>
      <c r="N10" s="10">
        <f t="shared" si="0"/>
        <v>59.192060628906923</v>
      </c>
      <c r="O10" s="10">
        <f t="shared" si="0"/>
        <v>60.483523769901261</v>
      </c>
      <c r="P10" s="10">
        <f t="shared" si="0"/>
        <v>61.814161292839096</v>
      </c>
      <c r="Q10" s="10">
        <f t="shared" si="0"/>
        <v>63.187809321568842</v>
      </c>
      <c r="R10" s="10">
        <f t="shared" si="0"/>
        <v>64.609535031304148</v>
      </c>
      <c r="S10" s="10">
        <f t="shared" si="0"/>
        <v>66.086324403448231</v>
      </c>
      <c r="T10" s="10">
        <f t="shared" si="0"/>
        <v>67.628338639528693</v>
      </c>
      <c r="U10" s="10">
        <f t="shared" si="0"/>
        <v>69.251418766877379</v>
      </c>
      <c r="V10" s="10">
        <f t="shared" si="0"/>
        <v>70.982704236049329</v>
      </c>
      <c r="W10" s="10">
        <f t="shared" si="0"/>
        <v>72.875576349010643</v>
      </c>
      <c r="X10" s="10">
        <f t="shared" si="0"/>
        <v>75.061843639480969</v>
      </c>
      <c r="Y10" s="11">
        <f t="shared" si="0"/>
        <v>78.064317385060207</v>
      </c>
      <c r="Z10" s="12"/>
      <c r="AA10" s="12"/>
      <c r="AB10" s="12"/>
      <c r="AC10" s="12"/>
      <c r="AD10" s="12"/>
      <c r="AE10" s="12"/>
      <c r="AF10" s="12"/>
      <c r="AG10" s="12"/>
      <c r="AH10" s="12"/>
    </row>
    <row r="11" spans="1:34">
      <c r="A11" s="210"/>
      <c r="B11" s="210" t="s">
        <v>36</v>
      </c>
      <c r="C11" s="210"/>
      <c r="D11" s="255" t="s">
        <v>208</v>
      </c>
      <c r="E11" s="255" t="s">
        <v>137</v>
      </c>
      <c r="F11" s="13">
        <f>$K3/life</f>
        <v>50</v>
      </c>
      <c r="G11" s="13">
        <f t="shared" ref="G11:Y11" si="1">IF(life-F7&lt;=0,0,F18/(life-F7))</f>
        <v>50</v>
      </c>
      <c r="H11" s="13">
        <f t="shared" si="1"/>
        <v>50</v>
      </c>
      <c r="I11" s="13">
        <f t="shared" si="1"/>
        <v>50</v>
      </c>
      <c r="J11" s="13">
        <f t="shared" si="1"/>
        <v>50</v>
      </c>
      <c r="K11" s="13">
        <f t="shared" si="1"/>
        <v>50</v>
      </c>
      <c r="L11" s="13">
        <f t="shared" si="1"/>
        <v>50</v>
      </c>
      <c r="M11" s="13">
        <f t="shared" si="1"/>
        <v>50</v>
      </c>
      <c r="N11" s="13">
        <f t="shared" si="1"/>
        <v>50</v>
      </c>
      <c r="O11" s="13">
        <f t="shared" si="1"/>
        <v>50</v>
      </c>
      <c r="P11" s="13">
        <f t="shared" si="1"/>
        <v>50</v>
      </c>
      <c r="Q11" s="13">
        <f t="shared" si="1"/>
        <v>50</v>
      </c>
      <c r="R11" s="13">
        <f t="shared" si="1"/>
        <v>50</v>
      </c>
      <c r="S11" s="13">
        <f t="shared" si="1"/>
        <v>50</v>
      </c>
      <c r="T11" s="13">
        <f t="shared" si="1"/>
        <v>50</v>
      </c>
      <c r="U11" s="13">
        <f t="shared" si="1"/>
        <v>50</v>
      </c>
      <c r="V11" s="13">
        <f t="shared" si="1"/>
        <v>50</v>
      </c>
      <c r="W11" s="13">
        <f t="shared" si="1"/>
        <v>50</v>
      </c>
      <c r="X11" s="13">
        <f t="shared" si="1"/>
        <v>50</v>
      </c>
      <c r="Y11" s="14">
        <f t="shared" si="1"/>
        <v>50</v>
      </c>
      <c r="Z11" s="12"/>
      <c r="AA11" s="12"/>
      <c r="AB11" s="12"/>
      <c r="AC11" s="12"/>
      <c r="AD11" s="12"/>
      <c r="AE11" s="12"/>
      <c r="AF11" s="12"/>
      <c r="AG11" s="12"/>
      <c r="AH11" s="12"/>
    </row>
    <row r="12" spans="1:34" hidden="1">
      <c r="A12" s="210"/>
      <c r="B12" s="210" t="s">
        <v>37</v>
      </c>
      <c r="C12" s="210"/>
      <c r="D12" s="255"/>
      <c r="E12" s="256"/>
      <c r="F12" s="13">
        <f>K3-F11</f>
        <v>950</v>
      </c>
      <c r="G12" s="13">
        <f>F12-G11</f>
        <v>900</v>
      </c>
      <c r="H12" s="13">
        <f t="shared" ref="H12:Y12" si="2">G12-H11</f>
        <v>850</v>
      </c>
      <c r="I12" s="13">
        <f t="shared" si="2"/>
        <v>800</v>
      </c>
      <c r="J12" s="13">
        <f t="shared" si="2"/>
        <v>750</v>
      </c>
      <c r="K12" s="13">
        <f t="shared" si="2"/>
        <v>700</v>
      </c>
      <c r="L12" s="13">
        <f t="shared" si="2"/>
        <v>650</v>
      </c>
      <c r="M12" s="13">
        <f t="shared" si="2"/>
        <v>600</v>
      </c>
      <c r="N12" s="13">
        <f t="shared" si="2"/>
        <v>550</v>
      </c>
      <c r="O12" s="13">
        <f t="shared" si="2"/>
        <v>500</v>
      </c>
      <c r="P12" s="13">
        <f t="shared" si="2"/>
        <v>450</v>
      </c>
      <c r="Q12" s="13">
        <f t="shared" si="2"/>
        <v>400</v>
      </c>
      <c r="R12" s="13">
        <f t="shared" si="2"/>
        <v>350</v>
      </c>
      <c r="S12" s="13">
        <f t="shared" si="2"/>
        <v>300</v>
      </c>
      <c r="T12" s="13">
        <f t="shared" si="2"/>
        <v>250</v>
      </c>
      <c r="U12" s="13">
        <f t="shared" si="2"/>
        <v>200</v>
      </c>
      <c r="V12" s="13">
        <f t="shared" si="2"/>
        <v>150</v>
      </c>
      <c r="W12" s="13">
        <f t="shared" si="2"/>
        <v>100</v>
      </c>
      <c r="X12" s="13">
        <f t="shared" si="2"/>
        <v>50</v>
      </c>
      <c r="Y12" s="14">
        <f t="shared" si="2"/>
        <v>0</v>
      </c>
      <c r="Z12" s="12"/>
      <c r="AA12" s="12"/>
      <c r="AB12" s="12"/>
      <c r="AC12" s="12"/>
      <c r="AD12" s="12"/>
      <c r="AE12" s="12"/>
      <c r="AF12" s="12"/>
      <c r="AG12" s="12"/>
      <c r="AH12" s="12"/>
    </row>
    <row r="13" spans="1:34">
      <c r="A13" s="210"/>
      <c r="B13" s="210" t="s">
        <v>147</v>
      </c>
      <c r="C13" s="210"/>
      <c r="D13" s="255" t="s">
        <v>209</v>
      </c>
      <c r="E13" s="255" t="s">
        <v>151</v>
      </c>
      <c r="F13" s="42">
        <f>IF(B5="No change",0,'Cost allocation adjustment'!E8)</f>
        <v>0</v>
      </c>
      <c r="G13" s="42">
        <f>IF(B5="No change",0,'Cost allocation adjustment'!E20)</f>
        <v>0</v>
      </c>
      <c r="H13" s="294" t="s">
        <v>235</v>
      </c>
      <c r="I13" s="294"/>
      <c r="J13" s="294"/>
      <c r="K13" s="294"/>
      <c r="L13" s="294"/>
      <c r="M13" s="294"/>
      <c r="N13" s="294"/>
      <c r="O13" s="294"/>
      <c r="P13" s="294"/>
      <c r="Q13" s="294"/>
      <c r="R13" s="294"/>
      <c r="S13" s="294"/>
      <c r="T13" s="294"/>
      <c r="U13" s="294"/>
      <c r="V13" s="294"/>
      <c r="W13" s="294"/>
      <c r="X13" s="294"/>
      <c r="Y13" s="295"/>
      <c r="Z13" s="12"/>
      <c r="AA13" s="12"/>
      <c r="AB13" s="12"/>
      <c r="AC13" s="12"/>
      <c r="AD13" s="12"/>
      <c r="AE13" s="12"/>
      <c r="AF13" s="12"/>
      <c r="AG13" s="12"/>
      <c r="AH13" s="12"/>
    </row>
    <row r="14" spans="1:34">
      <c r="A14" s="210"/>
      <c r="B14" s="210" t="s">
        <v>38</v>
      </c>
      <c r="C14" s="210"/>
      <c r="D14" s="255" t="s">
        <v>210</v>
      </c>
      <c r="E14" s="255" t="s">
        <v>148</v>
      </c>
      <c r="F14" s="13">
        <f>K3-F10+F13+F31</f>
        <v>970</v>
      </c>
      <c r="G14" s="13">
        <f>F14+G31-G10+G13</f>
        <v>938.34736842105258</v>
      </c>
      <c r="H14" s="13">
        <f>G14+H31-H10</f>
        <v>904.98390643274843</v>
      </c>
      <c r="I14" s="13">
        <f t="shared" ref="I14:Y14" si="3">H14+I31-I10+I13</f>
        <v>869.84923712418299</v>
      </c>
      <c r="J14" s="13">
        <f t="shared" si="3"/>
        <v>832.88064454640528</v>
      </c>
      <c r="K14" s="13">
        <f t="shared" si="3"/>
        <v>794.01288113423971</v>
      </c>
      <c r="L14" s="13">
        <f t="shared" si="3"/>
        <v>753.17793296162165</v>
      </c>
      <c r="M14" s="13">
        <f t="shared" si="3"/>
        <v>710.3047275468831</v>
      </c>
      <c r="N14" s="13">
        <f t="shared" si="3"/>
        <v>665.31876146891386</v>
      </c>
      <c r="O14" s="13">
        <f t="shared" si="3"/>
        <v>618.14161292839094</v>
      </c>
      <c r="P14" s="13">
        <f t="shared" si="3"/>
        <v>568.6902838941196</v>
      </c>
      <c r="Q14" s="13">
        <f t="shared" si="3"/>
        <v>516.87628025043318</v>
      </c>
      <c r="R14" s="13">
        <f t="shared" si="3"/>
        <v>462.60427082413764</v>
      </c>
      <c r="S14" s="13">
        <f t="shared" si="3"/>
        <v>405.77003183717216</v>
      </c>
      <c r="T14" s="13">
        <f t="shared" si="3"/>
        <v>346.25709383438692</v>
      </c>
      <c r="U14" s="13">
        <f t="shared" si="3"/>
        <v>283.93081694419732</v>
      </c>
      <c r="V14" s="13">
        <f t="shared" si="3"/>
        <v>218.62672904703194</v>
      </c>
      <c r="W14" s="13">
        <f t="shared" si="3"/>
        <v>150.12368727896194</v>
      </c>
      <c r="X14" s="13">
        <f t="shared" si="3"/>
        <v>78.064317385060207</v>
      </c>
      <c r="Y14" s="14">
        <f t="shared" si="3"/>
        <v>0</v>
      </c>
      <c r="Z14" s="12"/>
      <c r="AA14" s="12"/>
      <c r="AB14" s="12"/>
      <c r="AC14" s="12"/>
      <c r="AD14" s="12"/>
      <c r="AE14" s="12"/>
      <c r="AF14" s="12"/>
      <c r="AG14" s="12"/>
      <c r="AH14" s="12"/>
    </row>
    <row r="15" spans="1:34">
      <c r="A15" s="210"/>
      <c r="B15" s="210" t="s">
        <v>39</v>
      </c>
      <c r="C15" s="210"/>
      <c r="D15" s="255" t="s">
        <v>211</v>
      </c>
      <c r="E15" s="255" t="s">
        <v>137</v>
      </c>
      <c r="F15" s="13">
        <f>$K6*DV</f>
        <v>66.685587459680278</v>
      </c>
      <c r="G15" s="13">
        <f t="shared" ref="G15:Y15" si="4">IF(G7&gt;life,0,IF(G7=life,F17,F17*DV))</f>
        <v>60.015136097416274</v>
      </c>
      <c r="H15" s="13">
        <f t="shared" si="4"/>
        <v>54.01191918672297</v>
      </c>
      <c r="I15" s="13">
        <f t="shared" si="4"/>
        <v>48.609194345535869</v>
      </c>
      <c r="J15" s="13">
        <f t="shared" si="4"/>
        <v>43.746895324225129</v>
      </c>
      <c r="K15" s="13">
        <f t="shared" si="4"/>
        <v>39.370964202875491</v>
      </c>
      <c r="L15" s="13">
        <f t="shared" si="4"/>
        <v>35.432750387791302</v>
      </c>
      <c r="M15" s="13">
        <f t="shared" si="4"/>
        <v>31.888469725408186</v>
      </c>
      <c r="N15" s="13">
        <f t="shared" si="4"/>
        <v>28.698717720164574</v>
      </c>
      <c r="O15" s="13">
        <f t="shared" si="4"/>
        <v>25.82803144440151</v>
      </c>
      <c r="P15" s="13">
        <f t="shared" si="4"/>
        <v>23.244495269705997</v>
      </c>
      <c r="Q15" s="13">
        <f t="shared" si="4"/>
        <v>20.919386036309842</v>
      </c>
      <c r="R15" s="13">
        <f t="shared" si="4"/>
        <v>18.826853715619109</v>
      </c>
      <c r="S15" s="13">
        <f t="shared" si="4"/>
        <v>16.943634015553823</v>
      </c>
      <c r="T15" s="13">
        <f t="shared" si="4"/>
        <v>15.248789733510282</v>
      </c>
      <c r="U15" s="13">
        <f t="shared" si="4"/>
        <v>13.723477981367871</v>
      </c>
      <c r="V15" s="13">
        <f t="shared" si="4"/>
        <v>12.350740694601617</v>
      </c>
      <c r="W15" s="13">
        <f t="shared" si="4"/>
        <v>11.115316096429085</v>
      </c>
      <c r="X15" s="13">
        <f t="shared" si="4"/>
        <v>10.003469020893464</v>
      </c>
      <c r="Y15" s="14">
        <f t="shared" si="4"/>
        <v>90.002838208454065</v>
      </c>
      <c r="Z15" s="12"/>
      <c r="AA15" s="12"/>
      <c r="AB15" s="12"/>
      <c r="AC15" s="12"/>
      <c r="AD15" s="12"/>
      <c r="AE15" s="12"/>
      <c r="AF15" s="12"/>
      <c r="AG15" s="12"/>
      <c r="AH15" s="12"/>
    </row>
    <row r="16" spans="1:34">
      <c r="A16" s="210"/>
      <c r="B16" s="210" t="s">
        <v>50</v>
      </c>
      <c r="C16" s="210"/>
      <c r="D16" s="255" t="s">
        <v>212</v>
      </c>
      <c r="E16" s="255" t="s">
        <v>129</v>
      </c>
      <c r="F16" s="42">
        <f>IF(B5="No change",0,'Cost allocation adjustment'!H8)</f>
        <v>0</v>
      </c>
      <c r="G16" s="42">
        <f>IF(B5="No change",0,'Cost allocation adjustment'!H20)</f>
        <v>0</v>
      </c>
      <c r="H16" s="294" t="s">
        <v>235</v>
      </c>
      <c r="I16" s="294"/>
      <c r="J16" s="294"/>
      <c r="K16" s="294"/>
      <c r="L16" s="294"/>
      <c r="M16" s="294"/>
      <c r="N16" s="294"/>
      <c r="O16" s="294"/>
      <c r="P16" s="294"/>
      <c r="Q16" s="294"/>
      <c r="R16" s="294"/>
      <c r="S16" s="294"/>
      <c r="T16" s="294"/>
      <c r="U16" s="294"/>
      <c r="V16" s="294"/>
      <c r="W16" s="294"/>
      <c r="X16" s="294"/>
      <c r="Y16" s="295"/>
      <c r="Z16" s="12"/>
      <c r="AA16" s="12"/>
      <c r="AB16" s="12"/>
      <c r="AC16" s="12"/>
      <c r="AD16" s="12"/>
      <c r="AE16" s="12"/>
      <c r="AF16" s="12"/>
      <c r="AG16" s="12"/>
      <c r="AH16" s="12"/>
    </row>
    <row r="17" spans="1:34">
      <c r="A17" s="210"/>
      <c r="B17" s="211" t="s">
        <v>120</v>
      </c>
      <c r="C17" s="212"/>
      <c r="D17" s="255" t="s">
        <v>189</v>
      </c>
      <c r="E17" s="255" t="s">
        <v>149</v>
      </c>
      <c r="F17" s="15">
        <f>K6-F15+F16</f>
        <v>599.98107920698646</v>
      </c>
      <c r="G17" s="15">
        <f>F17-G15+G16</f>
        <v>539.96594310957016</v>
      </c>
      <c r="H17" s="15">
        <f t="shared" ref="H17:Y17" si="5">G17-H15</f>
        <v>485.95402392284717</v>
      </c>
      <c r="I17" s="15">
        <f t="shared" si="5"/>
        <v>437.34482957731132</v>
      </c>
      <c r="J17" s="15">
        <f t="shared" si="5"/>
        <v>393.59793425308618</v>
      </c>
      <c r="K17" s="15">
        <f t="shared" si="5"/>
        <v>354.2269700502107</v>
      </c>
      <c r="L17" s="15">
        <f t="shared" si="5"/>
        <v>318.79421966241938</v>
      </c>
      <c r="M17" s="15">
        <f t="shared" si="5"/>
        <v>286.90574993701119</v>
      </c>
      <c r="N17" s="15">
        <f t="shared" si="5"/>
        <v>258.20703221684664</v>
      </c>
      <c r="O17" s="15">
        <f t="shared" si="5"/>
        <v>232.37900077244512</v>
      </c>
      <c r="P17" s="15">
        <f t="shared" si="5"/>
        <v>209.13450550273913</v>
      </c>
      <c r="Q17" s="15">
        <f t="shared" si="5"/>
        <v>188.21511946642929</v>
      </c>
      <c r="R17" s="15">
        <f t="shared" si="5"/>
        <v>169.38826575081018</v>
      </c>
      <c r="S17" s="15">
        <f t="shared" si="5"/>
        <v>152.44463173525637</v>
      </c>
      <c r="T17" s="15">
        <f t="shared" si="5"/>
        <v>137.19584200174609</v>
      </c>
      <c r="U17" s="15">
        <f t="shared" si="5"/>
        <v>123.47236402037822</v>
      </c>
      <c r="V17" s="15">
        <f t="shared" si="5"/>
        <v>111.12162332577661</v>
      </c>
      <c r="W17" s="15">
        <f t="shared" si="5"/>
        <v>100.00630722934753</v>
      </c>
      <c r="X17" s="15">
        <f t="shared" si="5"/>
        <v>90.002838208454065</v>
      </c>
      <c r="Y17" s="16">
        <f t="shared" si="5"/>
        <v>0</v>
      </c>
      <c r="Z17" s="12"/>
      <c r="AA17" s="12"/>
      <c r="AB17" s="12"/>
      <c r="AC17" s="12"/>
      <c r="AD17" s="12"/>
      <c r="AE17" s="12"/>
      <c r="AF17" s="12"/>
      <c r="AG17" s="12"/>
      <c r="AH17" s="12"/>
    </row>
    <row r="18" spans="1:34" ht="12" hidden="1" customHeight="1">
      <c r="D18" s="255" t="s">
        <v>40</v>
      </c>
      <c r="E18" s="256"/>
      <c r="F18" s="12">
        <f>K3-F11+F13</f>
        <v>950</v>
      </c>
      <c r="G18" s="12">
        <f>F18-G11+G13</f>
        <v>900</v>
      </c>
      <c r="H18" s="12">
        <f t="shared" ref="H18:Y18" si="6">G18-H11</f>
        <v>850</v>
      </c>
      <c r="I18" s="12">
        <f t="shared" si="6"/>
        <v>800</v>
      </c>
      <c r="J18" s="12">
        <f t="shared" si="6"/>
        <v>750</v>
      </c>
      <c r="K18" s="12">
        <f t="shared" si="6"/>
        <v>700</v>
      </c>
      <c r="L18" s="12">
        <f t="shared" si="6"/>
        <v>650</v>
      </c>
      <c r="M18" s="12">
        <f t="shared" si="6"/>
        <v>600</v>
      </c>
      <c r="N18" s="12">
        <f t="shared" si="6"/>
        <v>550</v>
      </c>
      <c r="O18" s="12">
        <f t="shared" si="6"/>
        <v>500</v>
      </c>
      <c r="P18" s="12">
        <f t="shared" si="6"/>
        <v>450</v>
      </c>
      <c r="Q18" s="12">
        <f t="shared" si="6"/>
        <v>400</v>
      </c>
      <c r="R18" s="12">
        <f t="shared" si="6"/>
        <v>350</v>
      </c>
      <c r="S18" s="12">
        <f t="shared" si="6"/>
        <v>300</v>
      </c>
      <c r="T18" s="12">
        <f t="shared" si="6"/>
        <v>250</v>
      </c>
      <c r="U18" s="12">
        <f t="shared" si="6"/>
        <v>200</v>
      </c>
      <c r="V18" s="12">
        <f t="shared" si="6"/>
        <v>150</v>
      </c>
      <c r="W18" s="12">
        <f t="shared" si="6"/>
        <v>100</v>
      </c>
      <c r="X18" s="12">
        <f t="shared" si="6"/>
        <v>50</v>
      </c>
      <c r="Y18" s="12">
        <f t="shared" si="6"/>
        <v>0</v>
      </c>
      <c r="Z18" s="12"/>
      <c r="AA18" s="12"/>
      <c r="AB18" s="12"/>
      <c r="AC18" s="12"/>
      <c r="AD18" s="12"/>
      <c r="AE18" s="12"/>
      <c r="AF18" s="12"/>
      <c r="AG18" s="12"/>
      <c r="AH18" s="12"/>
    </row>
    <row r="19" spans="1:34" ht="12" hidden="1" customHeight="1">
      <c r="D19" s="255" t="s">
        <v>41</v>
      </c>
      <c r="E19" s="256"/>
      <c r="F19" s="12">
        <f>IF(K6&gt;K3,0,K3-K6-F41)</f>
        <v>316.66666666666657</v>
      </c>
      <c r="G19" s="12">
        <f t="shared" ref="G19:Y19" si="7">F19-G41</f>
        <v>299.99999999999989</v>
      </c>
      <c r="H19" s="12">
        <f t="shared" si="7"/>
        <v>283.3333333333332</v>
      </c>
      <c r="I19" s="12">
        <f t="shared" si="7"/>
        <v>266.66666666666652</v>
      </c>
      <c r="J19" s="12">
        <f t="shared" si="7"/>
        <v>249.99999999999986</v>
      </c>
      <c r="K19" s="12">
        <f t="shared" si="7"/>
        <v>233.3333333333332</v>
      </c>
      <c r="L19" s="12">
        <f t="shared" si="7"/>
        <v>216.66666666666654</v>
      </c>
      <c r="M19" s="12">
        <f t="shared" si="7"/>
        <v>199.99999999999989</v>
      </c>
      <c r="N19" s="12">
        <f t="shared" si="7"/>
        <v>183.33333333333323</v>
      </c>
      <c r="O19" s="12">
        <f t="shared" si="7"/>
        <v>166.66666666666657</v>
      </c>
      <c r="P19" s="12">
        <f t="shared" si="7"/>
        <v>149.99999999999991</v>
      </c>
      <c r="Q19" s="12">
        <f t="shared" si="7"/>
        <v>133.33333333333326</v>
      </c>
      <c r="R19" s="12">
        <f t="shared" si="7"/>
        <v>116.6666666666666</v>
      </c>
      <c r="S19" s="12">
        <f t="shared" si="7"/>
        <v>99.999999999999943</v>
      </c>
      <c r="T19" s="12">
        <f t="shared" si="7"/>
        <v>83.333333333333286</v>
      </c>
      <c r="U19" s="12">
        <f t="shared" si="7"/>
        <v>66.666666666666629</v>
      </c>
      <c r="V19" s="12">
        <f t="shared" si="7"/>
        <v>49.999999999999972</v>
      </c>
      <c r="W19" s="12">
        <f t="shared" si="7"/>
        <v>33.333333333333314</v>
      </c>
      <c r="X19" s="12">
        <f t="shared" si="7"/>
        <v>16.666666666666657</v>
      </c>
      <c r="Y19" s="12">
        <f t="shared" si="7"/>
        <v>0</v>
      </c>
      <c r="Z19" s="12"/>
      <c r="AA19" s="12"/>
      <c r="AB19" s="12"/>
      <c r="AC19" s="12"/>
      <c r="AD19" s="12"/>
      <c r="AE19" s="12"/>
      <c r="AF19" s="12"/>
      <c r="AG19" s="12"/>
      <c r="AH19" s="12"/>
    </row>
    <row r="20" spans="1:34" ht="12.75" customHeight="1">
      <c r="A20" s="260"/>
      <c r="B20" s="261" t="s">
        <v>142</v>
      </c>
      <c r="C20" s="261"/>
      <c r="D20" s="257"/>
      <c r="E20" s="266"/>
      <c r="F20" s="296" t="s">
        <v>68</v>
      </c>
      <c r="G20" s="296"/>
      <c r="H20" s="296"/>
      <c r="I20" s="296"/>
      <c r="J20" s="296"/>
      <c r="K20" s="296"/>
      <c r="L20" s="296"/>
      <c r="M20" s="296"/>
      <c r="N20" s="296"/>
      <c r="O20" s="296"/>
      <c r="P20" s="296"/>
      <c r="Q20" s="296"/>
      <c r="R20" s="296"/>
      <c r="S20" s="296"/>
      <c r="T20" s="296"/>
      <c r="U20" s="296"/>
      <c r="V20" s="296"/>
      <c r="W20" s="296"/>
      <c r="X20" s="296"/>
      <c r="Y20" s="297"/>
      <c r="Z20" s="12"/>
      <c r="AA20" s="12"/>
      <c r="AB20" s="12"/>
      <c r="AC20" s="12"/>
      <c r="AD20" s="12"/>
      <c r="AE20" s="12"/>
      <c r="AF20" s="12"/>
      <c r="AG20" s="12"/>
      <c r="AH20" s="12"/>
    </row>
    <row r="21" spans="1:34" ht="12.75" customHeight="1">
      <c r="B21" s="22" t="s">
        <v>44</v>
      </c>
      <c r="D21" s="255" t="s">
        <v>191</v>
      </c>
      <c r="E21" s="255" t="s">
        <v>134</v>
      </c>
      <c r="F21" s="10">
        <f t="shared" ref="F21:Y21" si="8">F10-F11</f>
        <v>0</v>
      </c>
      <c r="G21" s="10">
        <f t="shared" si="8"/>
        <v>1.0526315789473699</v>
      </c>
      <c r="H21" s="10">
        <f t="shared" si="8"/>
        <v>2.1304093567251456</v>
      </c>
      <c r="I21" s="10">
        <f t="shared" si="8"/>
        <v>3.2343474372204923</v>
      </c>
      <c r="J21" s="10">
        <f t="shared" si="8"/>
        <v>4.365577320261437</v>
      </c>
      <c r="K21" s="10">
        <f t="shared" si="8"/>
        <v>5.5253763030936867</v>
      </c>
      <c r="L21" s="10">
        <f t="shared" si="8"/>
        <v>6.7152057953028361</v>
      </c>
      <c r="M21" s="10">
        <f t="shared" si="8"/>
        <v>7.9367640739708989</v>
      </c>
      <c r="N21" s="10">
        <f t="shared" si="8"/>
        <v>9.1920606289069227</v>
      </c>
      <c r="O21" s="10">
        <f t="shared" si="8"/>
        <v>10.483523769901261</v>
      </c>
      <c r="P21" s="10">
        <f t="shared" si="8"/>
        <v>11.814161292839096</v>
      </c>
      <c r="Q21" s="10">
        <f t="shared" si="8"/>
        <v>13.187809321568842</v>
      </c>
      <c r="R21" s="10">
        <f t="shared" si="8"/>
        <v>14.609535031304148</v>
      </c>
      <c r="S21" s="10">
        <f t="shared" si="8"/>
        <v>16.086324403448231</v>
      </c>
      <c r="T21" s="10">
        <f t="shared" si="8"/>
        <v>17.628338639528693</v>
      </c>
      <c r="U21" s="10">
        <f t="shared" si="8"/>
        <v>19.251418766877379</v>
      </c>
      <c r="V21" s="10">
        <f t="shared" si="8"/>
        <v>20.982704236049329</v>
      </c>
      <c r="W21" s="10">
        <f t="shared" si="8"/>
        <v>22.875576349010643</v>
      </c>
      <c r="X21" s="10">
        <f t="shared" si="8"/>
        <v>25.061843639480969</v>
      </c>
      <c r="Y21" s="11">
        <f t="shared" si="8"/>
        <v>28.064317385060207</v>
      </c>
      <c r="Z21" s="12"/>
      <c r="AA21" s="12"/>
      <c r="AB21" s="12"/>
      <c r="AC21" s="12"/>
      <c r="AD21" s="12"/>
      <c r="AE21" s="12"/>
      <c r="AF21" s="12"/>
      <c r="AG21" s="12"/>
      <c r="AH21" s="12"/>
    </row>
    <row r="22" spans="1:34" ht="12.75" customHeight="1">
      <c r="B22" s="22" t="s">
        <v>45</v>
      </c>
      <c r="D22" s="255"/>
      <c r="E22" s="256"/>
      <c r="F22" s="13">
        <f>F21</f>
        <v>0</v>
      </c>
      <c r="G22" s="13">
        <f>IF(G21=0,0,F22+G21)</f>
        <v>1.0526315789473699</v>
      </c>
      <c r="H22" s="13">
        <f t="shared" ref="H22:Y22" si="9">IF(H21=0,0,G22+H21)</f>
        <v>3.1830409356725156</v>
      </c>
      <c r="I22" s="13">
        <f t="shared" si="9"/>
        <v>6.4173883728930079</v>
      </c>
      <c r="J22" s="13">
        <f t="shared" si="9"/>
        <v>10.782965693154445</v>
      </c>
      <c r="K22" s="13">
        <f t="shared" si="9"/>
        <v>16.308341996248132</v>
      </c>
      <c r="L22" s="13">
        <f t="shared" si="9"/>
        <v>23.023547791550968</v>
      </c>
      <c r="M22" s="13">
        <f t="shared" si="9"/>
        <v>30.960311865521867</v>
      </c>
      <c r="N22" s="13">
        <f t="shared" si="9"/>
        <v>40.152372494428789</v>
      </c>
      <c r="O22" s="13">
        <f t="shared" si="9"/>
        <v>50.63589626433005</v>
      </c>
      <c r="P22" s="13">
        <f t="shared" si="9"/>
        <v>62.450057557169146</v>
      </c>
      <c r="Q22" s="13">
        <f t="shared" si="9"/>
        <v>75.637866878737981</v>
      </c>
      <c r="R22" s="13">
        <f t="shared" si="9"/>
        <v>90.247401910042129</v>
      </c>
      <c r="S22" s="13">
        <f t="shared" si="9"/>
        <v>106.33372631349036</v>
      </c>
      <c r="T22" s="13">
        <f t="shared" si="9"/>
        <v>123.96206495301905</v>
      </c>
      <c r="U22" s="13">
        <f t="shared" si="9"/>
        <v>143.21348371989643</v>
      </c>
      <c r="V22" s="13">
        <f t="shared" si="9"/>
        <v>164.19618795594576</v>
      </c>
      <c r="W22" s="13">
        <f t="shared" si="9"/>
        <v>187.07176430495639</v>
      </c>
      <c r="X22" s="13">
        <f t="shared" si="9"/>
        <v>212.13360794443736</v>
      </c>
      <c r="Y22" s="14">
        <f t="shared" si="9"/>
        <v>240.19792532949756</v>
      </c>
      <c r="Z22" s="12"/>
      <c r="AA22" s="12"/>
      <c r="AB22" s="12"/>
      <c r="AC22" s="12"/>
      <c r="AD22" s="12"/>
      <c r="AE22" s="12"/>
      <c r="AF22" s="12"/>
      <c r="AG22" s="12"/>
      <c r="AH22" s="12"/>
    </row>
    <row r="23" spans="1:34" ht="12.75" customHeight="1">
      <c r="B23" s="22" t="s">
        <v>46</v>
      </c>
      <c r="D23" s="255"/>
      <c r="E23" s="256"/>
      <c r="F23" s="15">
        <f t="shared" ref="F23:Y23" si="10">F21*Tax</f>
        <v>0</v>
      </c>
      <c r="G23" s="15">
        <f t="shared" si="10"/>
        <v>0.29473684210526363</v>
      </c>
      <c r="H23" s="15">
        <f t="shared" si="10"/>
        <v>0.59651461988304089</v>
      </c>
      <c r="I23" s="15">
        <f t="shared" si="10"/>
        <v>0.90561728242173789</v>
      </c>
      <c r="J23" s="15">
        <f t="shared" si="10"/>
        <v>1.2223616496732024</v>
      </c>
      <c r="K23" s="15">
        <f t="shared" si="10"/>
        <v>1.5471053648662325</v>
      </c>
      <c r="L23" s="15">
        <f t="shared" si="10"/>
        <v>1.8802576226847942</v>
      </c>
      <c r="M23" s="15">
        <f t="shared" si="10"/>
        <v>2.222293940711852</v>
      </c>
      <c r="N23" s="15">
        <f t="shared" si="10"/>
        <v>2.5737769760939386</v>
      </c>
      <c r="O23" s="15">
        <f t="shared" si="10"/>
        <v>2.9353866555723531</v>
      </c>
      <c r="P23" s="15">
        <f t="shared" si="10"/>
        <v>3.3079651619949471</v>
      </c>
      <c r="Q23" s="15">
        <f t="shared" si="10"/>
        <v>3.6925866100392764</v>
      </c>
      <c r="R23" s="15">
        <f t="shared" si="10"/>
        <v>4.0906698087651616</v>
      </c>
      <c r="S23" s="15">
        <f t="shared" si="10"/>
        <v>4.5041708329655048</v>
      </c>
      <c r="T23" s="15">
        <f t="shared" si="10"/>
        <v>4.9359348190680343</v>
      </c>
      <c r="U23" s="15">
        <f t="shared" si="10"/>
        <v>5.3903972547256664</v>
      </c>
      <c r="V23" s="15">
        <f t="shared" si="10"/>
        <v>5.875157186093813</v>
      </c>
      <c r="W23" s="15">
        <f t="shared" si="10"/>
        <v>6.4051613777229806</v>
      </c>
      <c r="X23" s="15">
        <f t="shared" si="10"/>
        <v>7.0173162190546723</v>
      </c>
      <c r="Y23" s="16">
        <f t="shared" si="10"/>
        <v>7.8580088678168583</v>
      </c>
      <c r="Z23" s="12"/>
      <c r="AA23" s="12"/>
      <c r="AB23" s="12"/>
      <c r="AC23" s="12"/>
      <c r="AD23" s="12"/>
      <c r="AE23" s="12"/>
      <c r="AF23" s="12"/>
      <c r="AG23" s="12"/>
      <c r="AH23" s="12"/>
    </row>
    <row r="24" spans="1:34" ht="15" customHeight="1">
      <c r="A24" s="260"/>
      <c r="B24" s="261" t="s">
        <v>142</v>
      </c>
      <c r="C24" s="261"/>
      <c r="D24" s="257"/>
      <c r="E24" s="266"/>
      <c r="F24" s="290" t="s">
        <v>241</v>
      </c>
      <c r="G24" s="290"/>
      <c r="H24" s="290"/>
      <c r="I24" s="290"/>
      <c r="J24" s="290"/>
      <c r="K24" s="290"/>
      <c r="L24" s="290"/>
      <c r="M24" s="290"/>
      <c r="N24" s="290"/>
      <c r="O24" s="290"/>
      <c r="P24" s="290"/>
      <c r="Q24" s="290"/>
      <c r="R24" s="290"/>
      <c r="S24" s="290"/>
      <c r="T24" s="290"/>
      <c r="U24" s="290"/>
      <c r="V24" s="290"/>
      <c r="W24" s="290"/>
      <c r="X24" s="290"/>
      <c r="Y24" s="291"/>
    </row>
    <row r="25" spans="1:34" ht="15" customHeight="1">
      <c r="B25" s="23" t="s">
        <v>216</v>
      </c>
      <c r="D25" s="255" t="s">
        <v>197</v>
      </c>
      <c r="E25" s="255" t="s">
        <v>153</v>
      </c>
      <c r="F25" s="197">
        <v>0</v>
      </c>
      <c r="G25" s="198">
        <f>F29</f>
        <v>-9.3386311553771435</v>
      </c>
      <c r="H25" s="198">
        <f t="shared" ref="H25:Y25" si="11">G29</f>
        <v>-16.809535929320365</v>
      </c>
      <c r="I25" s="198">
        <f t="shared" si="11"/>
        <v>-22.599539968269461</v>
      </c>
      <c r="J25" s="198">
        <f t="shared" si="11"/>
        <v>-26.876781051686169</v>
      </c>
      <c r="K25" s="198">
        <f t="shared" si="11"/>
        <v>-29.792578409135871</v>
      </c>
      <c r="L25" s="198">
        <f t="shared" si="11"/>
        <v>-31.483115052607673</v>
      </c>
      <c r="M25" s="198">
        <f t="shared" si="11"/>
        <v>-32.0709518278559</v>
      </c>
      <c r="N25" s="198">
        <f t="shared" si="11"/>
        <v>-31.666390017636857</v>
      </c>
      <c r="O25" s="198">
        <f t="shared" si="11"/>
        <v>-30.368697645949602</v>
      </c>
      <c r="P25" s="198">
        <f t="shared" si="11"/>
        <v>-28.267213117048691</v>
      </c>
      <c r="Q25" s="198">
        <f t="shared" si="11"/>
        <v>-25.442338459233035</v>
      </c>
      <c r="R25" s="198">
        <f t="shared" si="11"/>
        <v>-21.966433216066456</v>
      </c>
      <c r="S25" s="198">
        <f t="shared" si="11"/>
        <v>-17.904618923106469</v>
      </c>
      <c r="T25" s="198">
        <f t="shared" si="11"/>
        <v>-13.315503114128203</v>
      </c>
      <c r="U25" s="198">
        <f t="shared" si="11"/>
        <v>-8.2518309061777462</v>
      </c>
      <c r="V25" s="198">
        <f t="shared" si="11"/>
        <v>-2.7610714076274139</v>
      </c>
      <c r="W25" s="198">
        <f t="shared" si="11"/>
        <v>3.1140545312174694</v>
      </c>
      <c r="X25" s="198">
        <f t="shared" si="11"/>
        <v>9.3350993575506624</v>
      </c>
      <c r="Y25" s="204">
        <f t="shared" si="11"/>
        <v>15.867461365033829</v>
      </c>
    </row>
    <row r="26" spans="1:34" ht="15" customHeight="1">
      <c r="B26" s="22" t="s">
        <v>239</v>
      </c>
      <c r="D26" s="255" t="s">
        <v>206</v>
      </c>
      <c r="E26" s="255" t="s">
        <v>126</v>
      </c>
      <c r="F26" s="42">
        <f t="shared" ref="F26:Y26" si="12">(F11-F15)*Tax</f>
        <v>-4.6719644887104783</v>
      </c>
      <c r="G26" s="42">
        <f t="shared" si="12"/>
        <v>-2.8042381072765572</v>
      </c>
      <c r="H26" s="42">
        <f t="shared" si="12"/>
        <v>-1.1233373722824318</v>
      </c>
      <c r="I26" s="42">
        <f t="shared" si="12"/>
        <v>0.38942558324995674</v>
      </c>
      <c r="J26" s="42">
        <f t="shared" si="12"/>
        <v>1.750869309216964</v>
      </c>
      <c r="K26" s="42">
        <f t="shared" si="12"/>
        <v>2.9761300231948629</v>
      </c>
      <c r="L26" s="42">
        <f t="shared" si="12"/>
        <v>4.0788298914184358</v>
      </c>
      <c r="M26" s="42">
        <f t="shared" si="12"/>
        <v>5.0712284768857083</v>
      </c>
      <c r="N26" s="42">
        <f t="shared" si="12"/>
        <v>5.96435903835392</v>
      </c>
      <c r="O26" s="42">
        <f t="shared" si="12"/>
        <v>6.7681511955675777</v>
      </c>
      <c r="P26" s="42">
        <f t="shared" si="12"/>
        <v>7.4915413244823217</v>
      </c>
      <c r="Q26" s="42">
        <f t="shared" si="12"/>
        <v>8.1425719098332454</v>
      </c>
      <c r="R26" s="42">
        <f t="shared" si="12"/>
        <v>8.7284809596266513</v>
      </c>
      <c r="S26" s="42">
        <f t="shared" si="12"/>
        <v>9.2557824756449296</v>
      </c>
      <c r="T26" s="42">
        <f t="shared" si="12"/>
        <v>9.7303388746171233</v>
      </c>
      <c r="U26" s="42">
        <f t="shared" si="12"/>
        <v>10.157426165216997</v>
      </c>
      <c r="V26" s="42">
        <f t="shared" si="12"/>
        <v>10.541792605511548</v>
      </c>
      <c r="W26" s="42">
        <f t="shared" si="12"/>
        <v>10.887711492999857</v>
      </c>
      <c r="X26" s="42">
        <f t="shared" si="12"/>
        <v>11.199028674149831</v>
      </c>
      <c r="Y26" s="199">
        <f t="shared" si="12"/>
        <v>-11.200794698367138</v>
      </c>
    </row>
    <row r="27" spans="1:34">
      <c r="B27" s="91" t="s">
        <v>219</v>
      </c>
      <c r="C27" s="91"/>
      <c r="D27" s="255" t="s">
        <v>207</v>
      </c>
      <c r="E27" s="255" t="s">
        <v>128</v>
      </c>
      <c r="F27" s="42">
        <f t="shared" ref="F27:Y27" si="13">-Tax*F41</f>
        <v>-4.6666666666666661</v>
      </c>
      <c r="G27" s="42">
        <f t="shared" si="13"/>
        <v>-4.6666666666666652</v>
      </c>
      <c r="H27" s="42">
        <f t="shared" si="13"/>
        <v>-4.6666666666666652</v>
      </c>
      <c r="I27" s="42">
        <f t="shared" si="13"/>
        <v>-4.6666666666666643</v>
      </c>
      <c r="J27" s="42">
        <f t="shared" si="13"/>
        <v>-4.6666666666666643</v>
      </c>
      <c r="K27" s="42">
        <f t="shared" si="13"/>
        <v>-4.6666666666666643</v>
      </c>
      <c r="L27" s="42">
        <f t="shared" si="13"/>
        <v>-4.6666666666666643</v>
      </c>
      <c r="M27" s="42">
        <f t="shared" si="13"/>
        <v>-4.6666666666666643</v>
      </c>
      <c r="N27" s="42">
        <f t="shared" si="13"/>
        <v>-4.6666666666666643</v>
      </c>
      <c r="O27" s="42">
        <f t="shared" si="13"/>
        <v>-4.6666666666666643</v>
      </c>
      <c r="P27" s="42">
        <f t="shared" si="13"/>
        <v>-4.6666666666666643</v>
      </c>
      <c r="Q27" s="42">
        <f t="shared" si="13"/>
        <v>-4.6666666666666643</v>
      </c>
      <c r="R27" s="42">
        <f t="shared" si="13"/>
        <v>-4.6666666666666643</v>
      </c>
      <c r="S27" s="42">
        <f t="shared" si="13"/>
        <v>-4.6666666666666643</v>
      </c>
      <c r="T27" s="42">
        <f t="shared" si="13"/>
        <v>-4.6666666666666643</v>
      </c>
      <c r="U27" s="42">
        <f t="shared" si="13"/>
        <v>-4.6666666666666643</v>
      </c>
      <c r="V27" s="42">
        <f t="shared" si="13"/>
        <v>-4.6666666666666643</v>
      </c>
      <c r="W27" s="42">
        <f t="shared" si="13"/>
        <v>-4.6666666666666643</v>
      </c>
      <c r="X27" s="42">
        <f t="shared" si="13"/>
        <v>-4.6666666666666643</v>
      </c>
      <c r="Y27" s="199">
        <f t="shared" si="13"/>
        <v>-4.6666666666666643</v>
      </c>
    </row>
    <row r="28" spans="1:34">
      <c r="B28" s="22" t="s">
        <v>7</v>
      </c>
      <c r="D28" s="255" t="s">
        <v>205</v>
      </c>
      <c r="E28" s="255" t="s">
        <v>122</v>
      </c>
      <c r="F28" s="42">
        <f>IF(B5="No change",0,-(F13-F16)*Tax)</f>
        <v>0</v>
      </c>
      <c r="G28" s="42">
        <f>IF(B5="No change",0,-(G13-G16)*Tax)</f>
        <v>0</v>
      </c>
      <c r="H28" s="292" t="s">
        <v>82</v>
      </c>
      <c r="I28" s="292"/>
      <c r="J28" s="292"/>
      <c r="K28" s="292"/>
      <c r="L28" s="292"/>
      <c r="M28" s="292"/>
      <c r="N28" s="292"/>
      <c r="O28" s="292"/>
      <c r="P28" s="292"/>
      <c r="Q28" s="292"/>
      <c r="R28" s="292"/>
      <c r="S28" s="292"/>
      <c r="T28" s="292"/>
      <c r="U28" s="292"/>
      <c r="V28" s="292"/>
      <c r="W28" s="292"/>
      <c r="X28" s="292"/>
      <c r="Y28" s="293"/>
    </row>
    <row r="29" spans="1:34">
      <c r="B29" s="23" t="s">
        <v>79</v>
      </c>
      <c r="D29" s="255" t="s">
        <v>188</v>
      </c>
      <c r="E29" s="255" t="s">
        <v>128</v>
      </c>
      <c r="F29" s="201">
        <f>F27+F26</f>
        <v>-9.3386311553771435</v>
      </c>
      <c r="G29" s="201">
        <f>F29+G27+G26+G28</f>
        <v>-16.809535929320365</v>
      </c>
      <c r="H29" s="201">
        <f t="shared" ref="H29:Y29" si="14">G29+H27+H26</f>
        <v>-22.599539968269461</v>
      </c>
      <c r="I29" s="201">
        <f t="shared" si="14"/>
        <v>-26.876781051686169</v>
      </c>
      <c r="J29" s="201">
        <f t="shared" si="14"/>
        <v>-29.792578409135871</v>
      </c>
      <c r="K29" s="201">
        <f t="shared" si="14"/>
        <v>-31.483115052607673</v>
      </c>
      <c r="L29" s="201">
        <f t="shared" si="14"/>
        <v>-32.0709518278559</v>
      </c>
      <c r="M29" s="201">
        <f t="shared" si="14"/>
        <v>-31.666390017636857</v>
      </c>
      <c r="N29" s="201">
        <f t="shared" si="14"/>
        <v>-30.368697645949602</v>
      </c>
      <c r="O29" s="201">
        <f t="shared" si="14"/>
        <v>-28.267213117048691</v>
      </c>
      <c r="P29" s="201">
        <f t="shared" si="14"/>
        <v>-25.442338459233035</v>
      </c>
      <c r="Q29" s="201">
        <f t="shared" si="14"/>
        <v>-21.966433216066456</v>
      </c>
      <c r="R29" s="201">
        <f t="shared" si="14"/>
        <v>-17.904618923106469</v>
      </c>
      <c r="S29" s="201">
        <f t="shared" si="14"/>
        <v>-13.315503114128203</v>
      </c>
      <c r="T29" s="201">
        <f t="shared" si="14"/>
        <v>-8.2518309061777462</v>
      </c>
      <c r="U29" s="201">
        <f t="shared" si="14"/>
        <v>-2.7610714076274139</v>
      </c>
      <c r="V29" s="201">
        <f t="shared" si="14"/>
        <v>3.1140545312174694</v>
      </c>
      <c r="W29" s="201">
        <f t="shared" si="14"/>
        <v>9.3350993575506624</v>
      </c>
      <c r="X29" s="201">
        <f t="shared" si="14"/>
        <v>15.867461365033829</v>
      </c>
      <c r="Y29" s="202">
        <f t="shared" si="14"/>
        <v>2.6645352591003757E-14</v>
      </c>
    </row>
    <row r="30" spans="1:34" ht="15.75">
      <c r="A30" s="260"/>
      <c r="B30" s="261" t="s">
        <v>142</v>
      </c>
      <c r="C30" s="261"/>
      <c r="D30" s="257"/>
      <c r="E30" s="266"/>
      <c r="F30" s="290" t="s">
        <v>244</v>
      </c>
      <c r="G30" s="290"/>
      <c r="H30" s="290"/>
      <c r="I30" s="290"/>
      <c r="J30" s="290"/>
      <c r="K30" s="290"/>
      <c r="L30" s="290"/>
      <c r="M30" s="290"/>
      <c r="N30" s="290"/>
      <c r="O30" s="290"/>
      <c r="P30" s="290"/>
      <c r="Q30" s="290"/>
      <c r="R30" s="290"/>
      <c r="S30" s="290"/>
      <c r="T30" s="290"/>
      <c r="U30" s="290"/>
      <c r="V30" s="290"/>
      <c r="W30" s="290"/>
      <c r="X30" s="290"/>
      <c r="Y30" s="291"/>
      <c r="Z30" s="24"/>
      <c r="AA30" s="24"/>
      <c r="AB30" s="24"/>
      <c r="AC30" s="24"/>
    </row>
    <row r="31" spans="1:34">
      <c r="B31" s="22" t="s">
        <v>69</v>
      </c>
      <c r="D31" s="255" t="s">
        <v>199</v>
      </c>
      <c r="E31" s="256"/>
      <c r="F31" s="95">
        <f>reval*K3</f>
        <v>20</v>
      </c>
      <c r="G31" s="10">
        <f t="shared" ref="G31:Y31" si="15">IF(life-G7&lt;=0,0,reval*F14)</f>
        <v>19.400000000000002</v>
      </c>
      <c r="H31" s="10">
        <f t="shared" si="15"/>
        <v>18.766947368421054</v>
      </c>
      <c r="I31" s="10">
        <f t="shared" si="15"/>
        <v>18.099678128654968</v>
      </c>
      <c r="J31" s="10">
        <f t="shared" si="15"/>
        <v>17.39698474248366</v>
      </c>
      <c r="K31" s="10">
        <f t="shared" si="15"/>
        <v>16.657612890928107</v>
      </c>
      <c r="L31" s="10">
        <f t="shared" si="15"/>
        <v>15.880257622684795</v>
      </c>
      <c r="M31" s="10">
        <f t="shared" si="15"/>
        <v>15.063558659232433</v>
      </c>
      <c r="N31" s="10">
        <f t="shared" si="15"/>
        <v>14.206094550937662</v>
      </c>
      <c r="O31" s="10">
        <f t="shared" si="15"/>
        <v>13.306375229378277</v>
      </c>
      <c r="P31" s="10">
        <f t="shared" si="15"/>
        <v>12.362832258567819</v>
      </c>
      <c r="Q31" s="10">
        <f t="shared" si="15"/>
        <v>11.373805677882393</v>
      </c>
      <c r="R31" s="10">
        <f t="shared" si="15"/>
        <v>10.337525605008663</v>
      </c>
      <c r="S31" s="10">
        <f t="shared" si="15"/>
        <v>9.2520854164827533</v>
      </c>
      <c r="T31" s="10">
        <f t="shared" si="15"/>
        <v>8.115400636743443</v>
      </c>
      <c r="U31" s="10">
        <f t="shared" si="15"/>
        <v>6.9251418766877384</v>
      </c>
      <c r="V31" s="10">
        <f t="shared" si="15"/>
        <v>5.6786163388839466</v>
      </c>
      <c r="W31" s="10">
        <f t="shared" si="15"/>
        <v>4.3725345809406386</v>
      </c>
      <c r="X31" s="10">
        <f t="shared" si="15"/>
        <v>3.002473745579239</v>
      </c>
      <c r="Y31" s="11">
        <f t="shared" si="15"/>
        <v>0</v>
      </c>
      <c r="Z31" s="24"/>
      <c r="AA31" s="45"/>
      <c r="AB31" s="24"/>
      <c r="AC31" s="24"/>
    </row>
    <row r="32" spans="1:34">
      <c r="B32" s="22" t="s">
        <v>42</v>
      </c>
      <c r="D32" s="255"/>
      <c r="E32" s="256"/>
      <c r="F32" s="25">
        <f>F31</f>
        <v>20</v>
      </c>
      <c r="G32" s="13">
        <f>IF(G31=0,0,F32+G31)</f>
        <v>39.400000000000006</v>
      </c>
      <c r="H32" s="13">
        <f t="shared" ref="H32:Y32" si="16">IF(H31=0,0,G32+H31)</f>
        <v>58.166947368421063</v>
      </c>
      <c r="I32" s="13">
        <f t="shared" si="16"/>
        <v>76.266625497076035</v>
      </c>
      <c r="J32" s="13">
        <f t="shared" si="16"/>
        <v>93.663610239559688</v>
      </c>
      <c r="K32" s="13">
        <f t="shared" si="16"/>
        <v>110.32122313048779</v>
      </c>
      <c r="L32" s="13">
        <f t="shared" si="16"/>
        <v>126.20148075317259</v>
      </c>
      <c r="M32" s="13">
        <f t="shared" si="16"/>
        <v>141.26503941240503</v>
      </c>
      <c r="N32" s="13">
        <f t="shared" si="16"/>
        <v>155.47113396334268</v>
      </c>
      <c r="O32" s="13">
        <f t="shared" si="16"/>
        <v>168.77750919272097</v>
      </c>
      <c r="P32" s="13">
        <f t="shared" si="16"/>
        <v>181.14034145128878</v>
      </c>
      <c r="Q32" s="13">
        <f t="shared" si="16"/>
        <v>192.51414712917116</v>
      </c>
      <c r="R32" s="13">
        <f t="shared" si="16"/>
        <v>202.85167273417983</v>
      </c>
      <c r="S32" s="13">
        <f t="shared" si="16"/>
        <v>212.10375815066257</v>
      </c>
      <c r="T32" s="13">
        <f t="shared" si="16"/>
        <v>220.219158787406</v>
      </c>
      <c r="U32" s="13">
        <f t="shared" si="16"/>
        <v>227.14430066409375</v>
      </c>
      <c r="V32" s="13">
        <f t="shared" si="16"/>
        <v>232.8229170029777</v>
      </c>
      <c r="W32" s="13">
        <f t="shared" si="16"/>
        <v>237.19545158391836</v>
      </c>
      <c r="X32" s="13">
        <f t="shared" si="16"/>
        <v>240.19792532949759</v>
      </c>
      <c r="Y32" s="14">
        <f t="shared" si="16"/>
        <v>0</v>
      </c>
      <c r="Z32" s="24"/>
      <c r="AA32" s="24"/>
      <c r="AB32" s="24"/>
      <c r="AC32" s="24"/>
    </row>
    <row r="33" spans="1:29">
      <c r="B33" s="22" t="s">
        <v>43</v>
      </c>
      <c r="D33" s="255"/>
      <c r="E33" s="256"/>
      <c r="F33" s="13">
        <f t="shared" ref="F33" si="17">F50*WACC</f>
        <v>90</v>
      </c>
      <c r="G33" s="13">
        <f t="shared" ref="G33:Y33" si="18">IF(life-F7&lt;=0,0,G50*WACC)</f>
        <v>86.45952319601605</v>
      </c>
      <c r="H33" s="13">
        <f t="shared" si="18"/>
        <v>82.938404924255892</v>
      </c>
      <c r="I33" s="13">
        <f t="shared" si="18"/>
        <v>79.414592981803096</v>
      </c>
      <c r="J33" s="13">
        <f t="shared" si="18"/>
        <v>75.867521046524715</v>
      </c>
      <c r="K33" s="13">
        <f t="shared" si="18"/>
        <v>72.277925952354238</v>
      </c>
      <c r="L33" s="13">
        <f t="shared" si="18"/>
        <v>68.62767894734688</v>
      </c>
      <c r="M33" s="13">
        <f t="shared" si="18"/>
        <v>64.89962830203892</v>
      </c>
      <c r="N33" s="13">
        <f t="shared" si="18"/>
        <v>61.077450377632154</v>
      </c>
      <c r="O33" s="13">
        <f t="shared" si="18"/>
        <v>57.145505744066782</v>
      </c>
      <c r="P33" s="13">
        <f t="shared" si="18"/>
        <v>53.088695983020806</v>
      </c>
      <c r="Q33" s="13">
        <f t="shared" si="18"/>
        <v>48.892315089139785</v>
      </c>
      <c r="R33" s="13">
        <f t="shared" si="18"/>
        <v>44.541886233093003</v>
      </c>
      <c r="S33" s="13">
        <f t="shared" si="18"/>
        <v>40.022968671092805</v>
      </c>
      <c r="T33" s="13">
        <f t="shared" si="18"/>
        <v>35.320907585073954</v>
      </c>
      <c r="U33" s="13">
        <f t="shared" si="18"/>
        <v>30.420473663538825</v>
      </c>
      <c r="V33" s="13">
        <f t="shared" si="18"/>
        <v>25.305277098291292</v>
      </c>
      <c r="W33" s="13">
        <f t="shared" si="18"/>
        <v>19.956670522042447</v>
      </c>
      <c r="X33" s="13">
        <f t="shared" si="18"/>
        <v>14.351290797286133</v>
      </c>
      <c r="Y33" s="14">
        <f t="shared" si="18"/>
        <v>8.4538600875084633</v>
      </c>
      <c r="Z33" s="48"/>
      <c r="AA33" s="48"/>
      <c r="AB33" s="48"/>
      <c r="AC33" s="48"/>
    </row>
    <row r="34" spans="1:29">
      <c r="B34" s="22" t="s">
        <v>143</v>
      </c>
      <c r="D34" s="255" t="s">
        <v>202</v>
      </c>
      <c r="E34" s="256"/>
      <c r="F34" s="13">
        <f>Opex</f>
        <v>10</v>
      </c>
      <c r="G34" s="13">
        <f t="shared" ref="G34:Y34" si="19">IF(life-F7&lt;=0,0,F34*(1+reval))</f>
        <v>10.199999999999999</v>
      </c>
      <c r="H34" s="13">
        <f t="shared" si="19"/>
        <v>10.404</v>
      </c>
      <c r="I34" s="13">
        <f t="shared" si="19"/>
        <v>10.612080000000001</v>
      </c>
      <c r="J34" s="13">
        <f t="shared" si="19"/>
        <v>10.824321600000001</v>
      </c>
      <c r="K34" s="13">
        <f t="shared" si="19"/>
        <v>11.040808032000001</v>
      </c>
      <c r="L34" s="13">
        <f t="shared" si="19"/>
        <v>11.261624192640001</v>
      </c>
      <c r="M34" s="13">
        <f t="shared" si="19"/>
        <v>11.486856676492801</v>
      </c>
      <c r="N34" s="13">
        <f t="shared" si="19"/>
        <v>11.716593810022657</v>
      </c>
      <c r="O34" s="13">
        <f t="shared" si="19"/>
        <v>11.95092568622311</v>
      </c>
      <c r="P34" s="13">
        <f t="shared" si="19"/>
        <v>12.189944199947572</v>
      </c>
      <c r="Q34" s="13">
        <f t="shared" si="19"/>
        <v>12.433743083946524</v>
      </c>
      <c r="R34" s="13">
        <f t="shared" si="19"/>
        <v>12.682417945625454</v>
      </c>
      <c r="S34" s="13">
        <f t="shared" si="19"/>
        <v>12.936066304537963</v>
      </c>
      <c r="T34" s="13">
        <f t="shared" si="19"/>
        <v>13.194787630628722</v>
      </c>
      <c r="U34" s="13">
        <f t="shared" si="19"/>
        <v>13.458683383241297</v>
      </c>
      <c r="V34" s="13">
        <f t="shared" si="19"/>
        <v>13.727857050906124</v>
      </c>
      <c r="W34" s="13">
        <f t="shared" si="19"/>
        <v>14.002414191924247</v>
      </c>
      <c r="X34" s="13">
        <f t="shared" si="19"/>
        <v>14.282462475762733</v>
      </c>
      <c r="Y34" s="16">
        <f t="shared" si="19"/>
        <v>14.568111725277987</v>
      </c>
      <c r="Z34" s="48"/>
      <c r="AA34" s="48"/>
      <c r="AB34" s="48"/>
      <c r="AC34" s="48"/>
    </row>
    <row r="35" spans="1:29">
      <c r="B35" s="23" t="s">
        <v>138</v>
      </c>
      <c r="D35" s="255"/>
      <c r="E35" s="255" t="s">
        <v>139</v>
      </c>
      <c r="F35" s="17">
        <f t="shared" ref="F35:Y35" si="20">(F33-F31)/0.72+F10+F34+((F41+F42+F43)*Tax)/0.72</f>
        <v>151.72592592592594</v>
      </c>
      <c r="G35" s="17">
        <f t="shared" si="20"/>
        <v>149.77510805099175</v>
      </c>
      <c r="H35" s="17">
        <f t="shared" si="20"/>
        <v>147.93343237752492</v>
      </c>
      <c r="I35" s="17">
        <f t="shared" si="20"/>
        <v>146.17631080645222</v>
      </c>
      <c r="J35" s="17">
        <f t="shared" si="20"/>
        <v>144.48124636361104</v>
      </c>
      <c r="K35" s="17">
        <f t="shared" si="20"/>
        <v>142.82764768313703</v>
      </c>
      <c r="L35" s="17">
        <f t="shared" si="20"/>
        <v>141.19667569811722</v>
      </c>
      <c r="M35" s="17">
        <f t="shared" si="20"/>
        <v>139.57112581280731</v>
      </c>
      <c r="N35" s="17">
        <f t="shared" si="20"/>
        <v>137.93535228143355</v>
      </c>
      <c r="O35" s="17">
        <f t="shared" si="20"/>
        <v>136.27524735406644</v>
      </c>
      <c r="P35" s="17">
        <f t="shared" si="20"/>
        <v>134.57829817214997</v>
      </c>
      <c r="Q35" s="17">
        <f t="shared" si="20"/>
        <v>132.83376408125545</v>
      </c>
      <c r="R35" s="17">
        <f t="shared" si="20"/>
        <v>131.03305656400153</v>
      </c>
      <c r="S35" s="17">
        <f t="shared" si="20"/>
        <v>129.17048925833024</v>
      </c>
      <c r="T35" s="17">
        <f t="shared" si="20"/>
        <v>127.24476596232086</v>
      </c>
      <c r="U35" s="17">
        <f t="shared" si="20"/>
        <v>125.26209981782776</v>
      </c>
      <c r="V35" s="17">
        <f t="shared" si="20"/>
        <v>123.24344562953941</v>
      </c>
      <c r="W35" s="17">
        <f t="shared" si="20"/>
        <v>121.24420091303577</v>
      </c>
      <c r="X35" s="17">
        <f t="shared" si="20"/>
        <v>119.42434411729224</v>
      </c>
      <c r="Y35" s="17">
        <f t="shared" si="20"/>
        <v>120.6441901687426</v>
      </c>
      <c r="Z35" s="18"/>
      <c r="AA35" s="18"/>
      <c r="AB35" s="18"/>
      <c r="AC35" s="18"/>
    </row>
    <row r="36" spans="1:29">
      <c r="B36" s="22" t="s">
        <v>143</v>
      </c>
      <c r="D36" s="255" t="s">
        <v>202</v>
      </c>
      <c r="E36" s="255" t="s">
        <v>157</v>
      </c>
      <c r="F36" s="18">
        <f>F34</f>
        <v>10</v>
      </c>
      <c r="G36" s="18">
        <f t="shared" ref="G36:Y36" si="21">G34</f>
        <v>10.199999999999999</v>
      </c>
      <c r="H36" s="18">
        <f t="shared" si="21"/>
        <v>10.404</v>
      </c>
      <c r="I36" s="18">
        <f t="shared" si="21"/>
        <v>10.612080000000001</v>
      </c>
      <c r="J36" s="18">
        <f t="shared" si="21"/>
        <v>10.824321600000001</v>
      </c>
      <c r="K36" s="18">
        <f t="shared" si="21"/>
        <v>11.040808032000001</v>
      </c>
      <c r="L36" s="18">
        <f t="shared" si="21"/>
        <v>11.261624192640001</v>
      </c>
      <c r="M36" s="18">
        <f t="shared" si="21"/>
        <v>11.486856676492801</v>
      </c>
      <c r="N36" s="18">
        <f t="shared" si="21"/>
        <v>11.716593810022657</v>
      </c>
      <c r="O36" s="18">
        <f t="shared" si="21"/>
        <v>11.95092568622311</v>
      </c>
      <c r="P36" s="18">
        <f t="shared" si="21"/>
        <v>12.189944199947572</v>
      </c>
      <c r="Q36" s="18">
        <f t="shared" si="21"/>
        <v>12.433743083946524</v>
      </c>
      <c r="R36" s="18">
        <f t="shared" si="21"/>
        <v>12.682417945625454</v>
      </c>
      <c r="S36" s="18">
        <f t="shared" si="21"/>
        <v>12.936066304537963</v>
      </c>
      <c r="T36" s="18">
        <f t="shared" si="21"/>
        <v>13.194787630628722</v>
      </c>
      <c r="U36" s="18">
        <f t="shared" si="21"/>
        <v>13.458683383241297</v>
      </c>
      <c r="V36" s="18">
        <f t="shared" si="21"/>
        <v>13.727857050906124</v>
      </c>
      <c r="W36" s="18">
        <f t="shared" si="21"/>
        <v>14.002414191924247</v>
      </c>
      <c r="X36" s="18">
        <f t="shared" si="21"/>
        <v>14.282462475762733</v>
      </c>
      <c r="Y36" s="18">
        <f t="shared" si="21"/>
        <v>14.568111725277987</v>
      </c>
      <c r="Z36" s="18"/>
      <c r="AA36" s="18"/>
      <c r="AB36" s="18"/>
      <c r="AC36" s="18"/>
    </row>
    <row r="37" spans="1:29">
      <c r="B37" s="22" t="s">
        <v>145</v>
      </c>
      <c r="D37" s="255" t="s">
        <v>201</v>
      </c>
      <c r="E37" s="255" t="s">
        <v>151</v>
      </c>
      <c r="F37" s="18">
        <f>F35-F36</f>
        <v>141.72592592592594</v>
      </c>
      <c r="G37" s="18">
        <f t="shared" ref="G37:Y37" si="22">G35-G36</f>
        <v>139.57510805099176</v>
      </c>
      <c r="H37" s="18">
        <f t="shared" si="22"/>
        <v>137.52943237752493</v>
      </c>
      <c r="I37" s="18">
        <f t="shared" si="22"/>
        <v>135.56423080645223</v>
      </c>
      <c r="J37" s="18">
        <f t="shared" si="22"/>
        <v>133.65692476361104</v>
      </c>
      <c r="K37" s="18">
        <f t="shared" si="22"/>
        <v>131.78683965113703</v>
      </c>
      <c r="L37" s="18">
        <f t="shared" si="22"/>
        <v>129.93505150547722</v>
      </c>
      <c r="M37" s="18">
        <f t="shared" si="22"/>
        <v>128.0842691363145</v>
      </c>
      <c r="N37" s="18">
        <f t="shared" si="22"/>
        <v>126.21875847141089</v>
      </c>
      <c r="O37" s="18">
        <f t="shared" si="22"/>
        <v>124.32432166784332</v>
      </c>
      <c r="P37" s="18">
        <f t="shared" si="22"/>
        <v>122.3883539722024</v>
      </c>
      <c r="Q37" s="18">
        <f t="shared" si="22"/>
        <v>120.40002099730893</v>
      </c>
      <c r="R37" s="18">
        <f t="shared" si="22"/>
        <v>118.35063861837607</v>
      </c>
      <c r="S37" s="18">
        <f t="shared" si="22"/>
        <v>116.23442295379228</v>
      </c>
      <c r="T37" s="18">
        <f t="shared" si="22"/>
        <v>114.04997833169213</v>
      </c>
      <c r="U37" s="18">
        <f t="shared" si="22"/>
        <v>111.80341643458647</v>
      </c>
      <c r="V37" s="18">
        <f t="shared" si="22"/>
        <v>109.51558857863328</v>
      </c>
      <c r="W37" s="18">
        <f t="shared" si="22"/>
        <v>107.24178672111152</v>
      </c>
      <c r="X37" s="18">
        <f t="shared" si="22"/>
        <v>105.14188164152951</v>
      </c>
      <c r="Y37" s="18">
        <f t="shared" si="22"/>
        <v>106.07607844346461</v>
      </c>
      <c r="Z37" s="18"/>
      <c r="AA37" s="18"/>
      <c r="AB37" s="18"/>
      <c r="AC37" s="18"/>
    </row>
    <row r="38" spans="1:29">
      <c r="B38" s="22" t="s">
        <v>136</v>
      </c>
      <c r="D38" s="255" t="s">
        <v>200</v>
      </c>
      <c r="E38" s="255" t="s">
        <v>137</v>
      </c>
      <c r="F38" s="18">
        <f t="shared" ref="F38:Y38" si="23">F10</f>
        <v>50</v>
      </c>
      <c r="G38" s="18">
        <f t="shared" si="23"/>
        <v>51.05263157894737</v>
      </c>
      <c r="H38" s="18">
        <f t="shared" si="23"/>
        <v>52.130409356725146</v>
      </c>
      <c r="I38" s="18">
        <f t="shared" si="23"/>
        <v>53.234347437220492</v>
      </c>
      <c r="J38" s="18">
        <f t="shared" si="23"/>
        <v>54.365577320261437</v>
      </c>
      <c r="K38" s="18">
        <f t="shared" si="23"/>
        <v>55.525376303093687</v>
      </c>
      <c r="L38" s="18">
        <f t="shared" si="23"/>
        <v>56.715205795302836</v>
      </c>
      <c r="M38" s="18">
        <f t="shared" si="23"/>
        <v>57.936764073970899</v>
      </c>
      <c r="N38" s="18">
        <f t="shared" si="23"/>
        <v>59.192060628906923</v>
      </c>
      <c r="O38" s="18">
        <f t="shared" si="23"/>
        <v>60.483523769901261</v>
      </c>
      <c r="P38" s="18">
        <f t="shared" si="23"/>
        <v>61.814161292839096</v>
      </c>
      <c r="Q38" s="18">
        <f t="shared" si="23"/>
        <v>63.187809321568842</v>
      </c>
      <c r="R38" s="18">
        <f t="shared" si="23"/>
        <v>64.609535031304148</v>
      </c>
      <c r="S38" s="18">
        <f t="shared" si="23"/>
        <v>66.086324403448231</v>
      </c>
      <c r="T38" s="18">
        <f t="shared" si="23"/>
        <v>67.628338639528693</v>
      </c>
      <c r="U38" s="18">
        <f t="shared" si="23"/>
        <v>69.251418766877379</v>
      </c>
      <c r="V38" s="18">
        <f t="shared" si="23"/>
        <v>70.982704236049329</v>
      </c>
      <c r="W38" s="18">
        <f t="shared" si="23"/>
        <v>72.875576349010643</v>
      </c>
      <c r="X38" s="18">
        <f t="shared" si="23"/>
        <v>75.061843639480969</v>
      </c>
      <c r="Y38" s="18">
        <f t="shared" si="23"/>
        <v>78.064317385060207</v>
      </c>
    </row>
    <row r="39" spans="1:29">
      <c r="B39" s="22" t="s">
        <v>155</v>
      </c>
      <c r="D39" s="255" t="s">
        <v>199</v>
      </c>
      <c r="E39" s="255" t="s">
        <v>156</v>
      </c>
      <c r="F39" s="13">
        <f t="shared" ref="F39:Y39" si="24">F31</f>
        <v>20</v>
      </c>
      <c r="G39" s="13">
        <f t="shared" si="24"/>
        <v>19.400000000000002</v>
      </c>
      <c r="H39" s="13">
        <f t="shared" si="24"/>
        <v>18.766947368421054</v>
      </c>
      <c r="I39" s="13">
        <f t="shared" si="24"/>
        <v>18.099678128654968</v>
      </c>
      <c r="J39" s="13">
        <f t="shared" si="24"/>
        <v>17.39698474248366</v>
      </c>
      <c r="K39" s="13">
        <f t="shared" si="24"/>
        <v>16.657612890928107</v>
      </c>
      <c r="L39" s="13">
        <f t="shared" si="24"/>
        <v>15.880257622684795</v>
      </c>
      <c r="M39" s="13">
        <f t="shared" si="24"/>
        <v>15.063558659232433</v>
      </c>
      <c r="N39" s="13">
        <f t="shared" si="24"/>
        <v>14.206094550937662</v>
      </c>
      <c r="O39" s="13">
        <f t="shared" si="24"/>
        <v>13.306375229378277</v>
      </c>
      <c r="P39" s="13">
        <f t="shared" si="24"/>
        <v>12.362832258567819</v>
      </c>
      <c r="Q39" s="13">
        <f t="shared" si="24"/>
        <v>11.373805677882393</v>
      </c>
      <c r="R39" s="13">
        <f t="shared" si="24"/>
        <v>10.337525605008663</v>
      </c>
      <c r="S39" s="13">
        <f t="shared" si="24"/>
        <v>9.2520854164827533</v>
      </c>
      <c r="T39" s="13">
        <f t="shared" si="24"/>
        <v>8.115400636743443</v>
      </c>
      <c r="U39" s="13">
        <f t="shared" si="24"/>
        <v>6.9251418766877384</v>
      </c>
      <c r="V39" s="13">
        <f t="shared" si="24"/>
        <v>5.6786163388839466</v>
      </c>
      <c r="W39" s="13">
        <f t="shared" si="24"/>
        <v>4.3725345809406386</v>
      </c>
      <c r="X39" s="13">
        <f t="shared" si="24"/>
        <v>3.002473745579239</v>
      </c>
      <c r="Y39" s="13">
        <f t="shared" si="24"/>
        <v>0</v>
      </c>
    </row>
    <row r="40" spans="1:29">
      <c r="B40" s="23" t="s">
        <v>146</v>
      </c>
      <c r="C40" s="23"/>
      <c r="D40" s="255" t="s">
        <v>195</v>
      </c>
      <c r="E40" s="255" t="s">
        <v>151</v>
      </c>
      <c r="F40" s="90">
        <f>F37-F38+F39</f>
        <v>111.72592592592594</v>
      </c>
      <c r="G40" s="90">
        <f t="shared" ref="G40:Y40" si="25">G37-G38+G39</f>
        <v>107.92247647204439</v>
      </c>
      <c r="H40" s="90">
        <f t="shared" si="25"/>
        <v>104.16597038922083</v>
      </c>
      <c r="I40" s="90">
        <f t="shared" si="25"/>
        <v>100.42956149788671</v>
      </c>
      <c r="J40" s="90">
        <f t="shared" si="25"/>
        <v>96.688332185833275</v>
      </c>
      <c r="K40" s="90">
        <f t="shared" si="25"/>
        <v>92.919076238971456</v>
      </c>
      <c r="L40" s="90">
        <f t="shared" si="25"/>
        <v>89.100103332859177</v>
      </c>
      <c r="M40" s="90">
        <f t="shared" si="25"/>
        <v>85.211063721576039</v>
      </c>
      <c r="N40" s="90">
        <f t="shared" si="25"/>
        <v>81.232792393441642</v>
      </c>
      <c r="O40" s="90">
        <f t="shared" si="25"/>
        <v>77.147173127320343</v>
      </c>
      <c r="P40" s="90">
        <f t="shared" si="25"/>
        <v>72.937024937931113</v>
      </c>
      <c r="Q40" s="90">
        <f t="shared" si="25"/>
        <v>68.586017353622481</v>
      </c>
      <c r="R40" s="90">
        <f t="shared" si="25"/>
        <v>64.078629192080584</v>
      </c>
      <c r="S40" s="90">
        <f t="shared" si="25"/>
        <v>59.400183966826802</v>
      </c>
      <c r="T40" s="90">
        <f t="shared" si="25"/>
        <v>54.537040328906883</v>
      </c>
      <c r="U40" s="90">
        <f t="shared" si="25"/>
        <v>49.477139544396827</v>
      </c>
      <c r="V40" s="90">
        <f t="shared" si="25"/>
        <v>44.211500681467903</v>
      </c>
      <c r="W40" s="90">
        <f t="shared" si="25"/>
        <v>38.738744953041518</v>
      </c>
      <c r="X40" s="90">
        <f t="shared" si="25"/>
        <v>33.082511747627777</v>
      </c>
      <c r="Y40" s="205">
        <f t="shared" si="25"/>
        <v>28.011761058404403</v>
      </c>
    </row>
    <row r="41" spans="1:29">
      <c r="B41" s="22" t="s">
        <v>150</v>
      </c>
      <c r="D41" s="255" t="s">
        <v>190</v>
      </c>
      <c r="E41" s="255" t="s">
        <v>135</v>
      </c>
      <c r="F41" s="42">
        <f>IF($K6&gt;$K3,0,(K3-K6)/life)</f>
        <v>16.666666666666664</v>
      </c>
      <c r="G41" s="42">
        <f t="shared" ref="G41:Y41" si="26">IF(life-F7&lt;=0,0,F19/(life-F7))</f>
        <v>16.666666666666661</v>
      </c>
      <c r="H41" s="42">
        <f t="shared" si="26"/>
        <v>16.666666666666661</v>
      </c>
      <c r="I41" s="42">
        <f t="shared" si="26"/>
        <v>16.666666666666657</v>
      </c>
      <c r="J41" s="42">
        <f t="shared" si="26"/>
        <v>16.666666666666657</v>
      </c>
      <c r="K41" s="42">
        <f t="shared" si="26"/>
        <v>16.666666666666657</v>
      </c>
      <c r="L41" s="42">
        <f t="shared" si="26"/>
        <v>16.666666666666657</v>
      </c>
      <c r="M41" s="42">
        <f t="shared" si="26"/>
        <v>16.666666666666657</v>
      </c>
      <c r="N41" s="42">
        <f t="shared" si="26"/>
        <v>16.666666666666657</v>
      </c>
      <c r="O41" s="42">
        <f t="shared" si="26"/>
        <v>16.666666666666657</v>
      </c>
      <c r="P41" s="42">
        <f t="shared" si="26"/>
        <v>16.666666666666657</v>
      </c>
      <c r="Q41" s="42">
        <f t="shared" si="26"/>
        <v>16.666666666666657</v>
      </c>
      <c r="R41" s="42">
        <f t="shared" si="26"/>
        <v>16.666666666666657</v>
      </c>
      <c r="S41" s="42">
        <f t="shared" si="26"/>
        <v>16.666666666666657</v>
      </c>
      <c r="T41" s="42">
        <f t="shared" si="26"/>
        <v>16.666666666666657</v>
      </c>
      <c r="U41" s="42">
        <f t="shared" si="26"/>
        <v>16.666666666666657</v>
      </c>
      <c r="V41" s="42">
        <f t="shared" si="26"/>
        <v>16.666666666666657</v>
      </c>
      <c r="W41" s="42">
        <f t="shared" si="26"/>
        <v>16.666666666666657</v>
      </c>
      <c r="X41" s="42">
        <f t="shared" si="26"/>
        <v>16.666666666666657</v>
      </c>
      <c r="Y41" s="199">
        <f t="shared" si="26"/>
        <v>16.666666666666657</v>
      </c>
    </row>
    <row r="42" spans="1:29">
      <c r="B42" s="22" t="s">
        <v>218</v>
      </c>
      <c r="D42" s="255" t="s">
        <v>191</v>
      </c>
      <c r="E42" s="255" t="s">
        <v>134</v>
      </c>
      <c r="F42" s="18">
        <f t="shared" ref="F42:Y42" si="27">F21</f>
        <v>0</v>
      </c>
      <c r="G42" s="18">
        <f t="shared" si="27"/>
        <v>1.0526315789473699</v>
      </c>
      <c r="H42" s="18">
        <f t="shared" si="27"/>
        <v>2.1304093567251456</v>
      </c>
      <c r="I42" s="18">
        <f t="shared" si="27"/>
        <v>3.2343474372204923</v>
      </c>
      <c r="J42" s="18">
        <f t="shared" si="27"/>
        <v>4.365577320261437</v>
      </c>
      <c r="K42" s="18">
        <f t="shared" si="27"/>
        <v>5.5253763030936867</v>
      </c>
      <c r="L42" s="18">
        <f t="shared" si="27"/>
        <v>6.7152057953028361</v>
      </c>
      <c r="M42" s="18">
        <f t="shared" si="27"/>
        <v>7.9367640739708989</v>
      </c>
      <c r="N42" s="18">
        <f t="shared" si="27"/>
        <v>9.1920606289069227</v>
      </c>
      <c r="O42" s="18">
        <f t="shared" si="27"/>
        <v>10.483523769901261</v>
      </c>
      <c r="P42" s="18">
        <f t="shared" si="27"/>
        <v>11.814161292839096</v>
      </c>
      <c r="Q42" s="18">
        <f t="shared" si="27"/>
        <v>13.187809321568842</v>
      </c>
      <c r="R42" s="18">
        <f t="shared" si="27"/>
        <v>14.609535031304148</v>
      </c>
      <c r="S42" s="18">
        <f t="shared" si="27"/>
        <v>16.086324403448231</v>
      </c>
      <c r="T42" s="18">
        <f t="shared" si="27"/>
        <v>17.628338639528693</v>
      </c>
      <c r="U42" s="18">
        <f t="shared" si="27"/>
        <v>19.251418766877379</v>
      </c>
      <c r="V42" s="18">
        <f t="shared" si="27"/>
        <v>20.982704236049329</v>
      </c>
      <c r="W42" s="18">
        <f t="shared" si="27"/>
        <v>22.875576349010643</v>
      </c>
      <c r="X42" s="18">
        <f t="shared" si="27"/>
        <v>25.061843639480969</v>
      </c>
      <c r="Y42" s="19">
        <f t="shared" si="27"/>
        <v>28.064317385060207</v>
      </c>
    </row>
    <row r="43" spans="1:29">
      <c r="B43" s="22" t="s">
        <v>77</v>
      </c>
      <c r="D43" s="255" t="s">
        <v>192</v>
      </c>
      <c r="E43" s="255" t="s">
        <v>133</v>
      </c>
      <c r="F43" s="49">
        <f t="shared" ref="F43" si="28">-F50*leverage*debt</f>
        <v>-30.800000000000004</v>
      </c>
      <c r="G43" s="49">
        <f t="shared" ref="G43:Y43" si="29">IF(life-F7&lt;=0,0,-G50*leverage*debt)</f>
        <v>-29.588370160414385</v>
      </c>
      <c r="H43" s="49">
        <f t="shared" si="29"/>
        <v>-28.383365240745356</v>
      </c>
      <c r="I43" s="49">
        <f t="shared" si="29"/>
        <v>-27.177438487105952</v>
      </c>
      <c r="J43" s="49">
        <f t="shared" si="29"/>
        <v>-25.963551647032904</v>
      </c>
      <c r="K43" s="49">
        <f t="shared" si="29"/>
        <v>-24.735112437027901</v>
      </c>
      <c r="L43" s="49">
        <f t="shared" si="29"/>
        <v>-23.485916795314267</v>
      </c>
      <c r="M43" s="49">
        <f t="shared" si="29"/>
        <v>-22.21009501891999</v>
      </c>
      <c r="N43" s="49">
        <f t="shared" si="29"/>
        <v>-20.902060795900784</v>
      </c>
      <c r="O43" s="49">
        <f t="shared" si="29"/>
        <v>-19.5564619657473</v>
      </c>
      <c r="P43" s="49">
        <f t="shared" si="29"/>
        <v>-18.168131514189344</v>
      </c>
      <c r="Q43" s="49">
        <f t="shared" si="29"/>
        <v>-16.732036719394507</v>
      </c>
      <c r="R43" s="49">
        <f t="shared" si="29"/>
        <v>-15.243223288658498</v>
      </c>
      <c r="S43" s="49">
        <f t="shared" si="29"/>
        <v>-13.696749278551762</v>
      </c>
      <c r="T43" s="49">
        <f t="shared" si="29"/>
        <v>-12.087599484669754</v>
      </c>
      <c r="U43" s="49">
        <f t="shared" si="29"/>
        <v>-10.410562098188844</v>
      </c>
      <c r="V43" s="49">
        <f t="shared" si="29"/>
        <v>-8.6600281625263538</v>
      </c>
      <c r="W43" s="49">
        <f t="shared" si="29"/>
        <v>-6.8296161342100836</v>
      </c>
      <c r="X43" s="49">
        <f t="shared" si="29"/>
        <v>-4.9113306284045883</v>
      </c>
      <c r="Y43" s="200">
        <f t="shared" si="29"/>
        <v>-2.8930987855028967</v>
      </c>
    </row>
    <row r="44" spans="1:29">
      <c r="B44" s="23" t="s">
        <v>78</v>
      </c>
      <c r="D44" s="255" t="s">
        <v>193</v>
      </c>
      <c r="E44" s="255" t="s">
        <v>132</v>
      </c>
      <c r="F44" s="49">
        <f>SUM(F40:F43)</f>
        <v>97.592592592592581</v>
      </c>
      <c r="G44" s="49">
        <f t="shared" ref="G44:Y44" si="30">SUM(G40:G43)</f>
        <v>96.053404557244036</v>
      </c>
      <c r="H44" s="49">
        <f t="shared" si="30"/>
        <v>94.579681171867293</v>
      </c>
      <c r="I44" s="49">
        <f t="shared" si="30"/>
        <v>93.153137114667913</v>
      </c>
      <c r="J44" s="49">
        <f t="shared" si="30"/>
        <v>91.757024525728468</v>
      </c>
      <c r="K44" s="49">
        <f t="shared" si="30"/>
        <v>90.376006771703885</v>
      </c>
      <c r="L44" s="49">
        <f t="shared" si="30"/>
        <v>88.996058999514403</v>
      </c>
      <c r="M44" s="49">
        <f t="shared" si="30"/>
        <v>87.604399443293602</v>
      </c>
      <c r="N44" s="49">
        <f t="shared" si="30"/>
        <v>86.189458893114448</v>
      </c>
      <c r="O44" s="49">
        <f t="shared" si="30"/>
        <v>84.740901598140965</v>
      </c>
      <c r="P44" s="49">
        <f t="shared" si="30"/>
        <v>83.249721383247518</v>
      </c>
      <c r="Q44" s="49">
        <f t="shared" si="30"/>
        <v>81.708456622463473</v>
      </c>
      <c r="R44" s="49">
        <f t="shared" si="30"/>
        <v>80.11160760139289</v>
      </c>
      <c r="S44" s="49">
        <f t="shared" si="30"/>
        <v>78.456425758389926</v>
      </c>
      <c r="T44" s="49">
        <f t="shared" si="30"/>
        <v>76.744446150432481</v>
      </c>
      <c r="U44" s="49">
        <f t="shared" si="30"/>
        <v>74.984662879752022</v>
      </c>
      <c r="V44" s="49">
        <f t="shared" si="30"/>
        <v>73.200843421657524</v>
      </c>
      <c r="W44" s="49">
        <f t="shared" si="30"/>
        <v>71.451371834508734</v>
      </c>
      <c r="X44" s="49">
        <f t="shared" si="30"/>
        <v>69.899691425370818</v>
      </c>
      <c r="Y44" s="203">
        <f t="shared" si="30"/>
        <v>69.849646324628367</v>
      </c>
    </row>
    <row r="45" spans="1:29">
      <c r="B45" s="23" t="s">
        <v>131</v>
      </c>
      <c r="C45" s="23"/>
      <c r="D45" s="255" t="s">
        <v>194</v>
      </c>
      <c r="E45" s="267" t="s">
        <v>140</v>
      </c>
      <c r="F45" s="228">
        <f t="shared" ref="F45:Y45" si="31">(F44-F39)*Tax</f>
        <v>21.725925925925925</v>
      </c>
      <c r="G45" s="228">
        <f t="shared" si="31"/>
        <v>21.46295327602833</v>
      </c>
      <c r="H45" s="228">
        <f t="shared" si="31"/>
        <v>21.227565464964947</v>
      </c>
      <c r="I45" s="228">
        <f t="shared" si="31"/>
        <v>21.014968516083627</v>
      </c>
      <c r="J45" s="228">
        <f t="shared" si="31"/>
        <v>20.82081113930855</v>
      </c>
      <c r="K45" s="228">
        <f t="shared" si="31"/>
        <v>20.641150286617219</v>
      </c>
      <c r="L45" s="228">
        <f t="shared" si="31"/>
        <v>20.472424385512291</v>
      </c>
      <c r="M45" s="228">
        <f t="shared" si="31"/>
        <v>20.31143541953713</v>
      </c>
      <c r="N45" s="228">
        <f t="shared" si="31"/>
        <v>20.155342015809502</v>
      </c>
      <c r="O45" s="228">
        <f t="shared" si="31"/>
        <v>20.001667383253555</v>
      </c>
      <c r="P45" s="228">
        <f t="shared" si="31"/>
        <v>19.848328954910318</v>
      </c>
      <c r="Q45" s="228">
        <f t="shared" si="31"/>
        <v>19.693702264482706</v>
      </c>
      <c r="R45" s="228">
        <f t="shared" si="31"/>
        <v>19.536742958987585</v>
      </c>
      <c r="S45" s="228">
        <f t="shared" si="31"/>
        <v>19.377215295734008</v>
      </c>
      <c r="T45" s="228">
        <f t="shared" si="31"/>
        <v>19.216132743832933</v>
      </c>
      <c r="U45" s="228">
        <f t="shared" si="31"/>
        <v>19.056665880858002</v>
      </c>
      <c r="V45" s="228">
        <f t="shared" si="31"/>
        <v>18.906223583176605</v>
      </c>
      <c r="W45" s="228">
        <f t="shared" si="31"/>
        <v>18.782074430999067</v>
      </c>
      <c r="X45" s="228">
        <f t="shared" si="31"/>
        <v>18.731220950341644</v>
      </c>
      <c r="Y45" s="231">
        <f t="shared" si="31"/>
        <v>19.557900970895943</v>
      </c>
    </row>
    <row r="46" spans="1:29" ht="15.75" thickBot="1">
      <c r="B46" s="22" t="s">
        <v>141</v>
      </c>
      <c r="D46" s="255" t="s">
        <v>196</v>
      </c>
      <c r="E46" s="256"/>
      <c r="F46" s="209">
        <f>F40-F45</f>
        <v>90.000000000000014</v>
      </c>
      <c r="G46" s="209">
        <f>G40-G45</f>
        <v>86.459523196016065</v>
      </c>
      <c r="H46" s="209">
        <f t="shared" ref="H46:Y46" si="32">H40-H45</f>
        <v>82.938404924255877</v>
      </c>
      <c r="I46" s="209">
        <f t="shared" si="32"/>
        <v>79.414592981803082</v>
      </c>
      <c r="J46" s="209">
        <f t="shared" si="32"/>
        <v>75.867521046524729</v>
      </c>
      <c r="K46" s="209">
        <f t="shared" si="32"/>
        <v>72.277925952354238</v>
      </c>
      <c r="L46" s="209">
        <f t="shared" si="32"/>
        <v>68.62767894734688</v>
      </c>
      <c r="M46" s="209">
        <f t="shared" si="32"/>
        <v>64.899628302038906</v>
      </c>
      <c r="N46" s="209">
        <f t="shared" si="32"/>
        <v>61.07745037763214</v>
      </c>
      <c r="O46" s="209">
        <f t="shared" si="32"/>
        <v>57.145505744066789</v>
      </c>
      <c r="P46" s="209">
        <f t="shared" si="32"/>
        <v>53.088695983020799</v>
      </c>
      <c r="Q46" s="209">
        <f t="shared" si="32"/>
        <v>48.892315089139771</v>
      </c>
      <c r="R46" s="209">
        <f t="shared" si="32"/>
        <v>44.541886233092995</v>
      </c>
      <c r="S46" s="209">
        <f t="shared" si="32"/>
        <v>40.022968671092798</v>
      </c>
      <c r="T46" s="209">
        <f t="shared" si="32"/>
        <v>35.320907585073954</v>
      </c>
      <c r="U46" s="209">
        <f t="shared" si="32"/>
        <v>30.420473663538825</v>
      </c>
      <c r="V46" s="209">
        <f t="shared" si="32"/>
        <v>25.305277098291299</v>
      </c>
      <c r="W46" s="209">
        <f t="shared" si="32"/>
        <v>19.956670522042451</v>
      </c>
      <c r="X46" s="209">
        <f t="shared" si="32"/>
        <v>14.351290797286133</v>
      </c>
      <c r="Y46" s="232">
        <f t="shared" si="32"/>
        <v>8.4538600875084597</v>
      </c>
    </row>
    <row r="47" spans="1:29" ht="16.5" thickTop="1">
      <c r="A47" s="260"/>
      <c r="B47" s="261" t="s">
        <v>142</v>
      </c>
      <c r="C47" s="261"/>
      <c r="D47" s="257"/>
      <c r="E47" s="266"/>
      <c r="F47" s="290" t="s">
        <v>243</v>
      </c>
      <c r="G47" s="290"/>
      <c r="H47" s="290"/>
      <c r="I47" s="290"/>
      <c r="J47" s="290"/>
      <c r="K47" s="290"/>
      <c r="L47" s="290"/>
      <c r="M47" s="290"/>
      <c r="N47" s="290"/>
      <c r="O47" s="290"/>
      <c r="P47" s="290"/>
      <c r="Q47" s="290"/>
      <c r="R47" s="290"/>
      <c r="S47" s="290"/>
      <c r="T47" s="290"/>
      <c r="U47" s="290"/>
      <c r="V47" s="290"/>
      <c r="W47" s="290"/>
      <c r="X47" s="290"/>
      <c r="Y47" s="291"/>
    </row>
    <row r="48" spans="1:29">
      <c r="B48" s="22" t="s">
        <v>70</v>
      </c>
      <c r="D48" s="255" t="s">
        <v>198</v>
      </c>
      <c r="E48" s="255" t="s">
        <v>154</v>
      </c>
      <c r="F48" s="13">
        <f>K3</f>
        <v>1000</v>
      </c>
      <c r="G48" s="13">
        <f t="shared" ref="G48:Y48" si="33">F14</f>
        <v>970</v>
      </c>
      <c r="H48" s="13">
        <f t="shared" si="33"/>
        <v>938.34736842105258</v>
      </c>
      <c r="I48" s="13">
        <f t="shared" si="33"/>
        <v>904.98390643274843</v>
      </c>
      <c r="J48" s="13">
        <f t="shared" si="33"/>
        <v>869.84923712418299</v>
      </c>
      <c r="K48" s="13">
        <f t="shared" si="33"/>
        <v>832.88064454640528</v>
      </c>
      <c r="L48" s="13">
        <f t="shared" si="33"/>
        <v>794.01288113423971</v>
      </c>
      <c r="M48" s="13">
        <f t="shared" si="33"/>
        <v>753.17793296162165</v>
      </c>
      <c r="N48" s="13">
        <f t="shared" si="33"/>
        <v>710.3047275468831</v>
      </c>
      <c r="O48" s="13">
        <f t="shared" si="33"/>
        <v>665.31876146891386</v>
      </c>
      <c r="P48" s="13">
        <f t="shared" si="33"/>
        <v>618.14161292839094</v>
      </c>
      <c r="Q48" s="13">
        <f t="shared" si="33"/>
        <v>568.6902838941196</v>
      </c>
      <c r="R48" s="13">
        <f t="shared" si="33"/>
        <v>516.87628025043318</v>
      </c>
      <c r="S48" s="13">
        <f t="shared" si="33"/>
        <v>462.60427082413764</v>
      </c>
      <c r="T48" s="13">
        <f t="shared" si="33"/>
        <v>405.77003183717216</v>
      </c>
      <c r="U48" s="13">
        <f t="shared" si="33"/>
        <v>346.25709383438692</v>
      </c>
      <c r="V48" s="13">
        <f t="shared" si="33"/>
        <v>283.93081694419732</v>
      </c>
      <c r="W48" s="13">
        <f t="shared" si="33"/>
        <v>218.62672904703194</v>
      </c>
      <c r="X48" s="13">
        <f t="shared" si="33"/>
        <v>150.12368727896194</v>
      </c>
      <c r="Y48" s="13">
        <f t="shared" si="33"/>
        <v>78.064317385060207</v>
      </c>
    </row>
    <row r="49" spans="1:27">
      <c r="B49" s="22" t="s">
        <v>71</v>
      </c>
      <c r="D49" s="255" t="s">
        <v>197</v>
      </c>
      <c r="E49" s="255" t="s">
        <v>153</v>
      </c>
      <c r="F49" s="13">
        <f>0</f>
        <v>0</v>
      </c>
      <c r="G49" s="42">
        <f t="shared" ref="G49:Y49" si="34">F29</f>
        <v>-9.3386311553771435</v>
      </c>
      <c r="H49" s="42">
        <f t="shared" si="34"/>
        <v>-16.809535929320365</v>
      </c>
      <c r="I49" s="42">
        <f t="shared" si="34"/>
        <v>-22.599539968269461</v>
      </c>
      <c r="J49" s="42">
        <f t="shared" si="34"/>
        <v>-26.876781051686169</v>
      </c>
      <c r="K49" s="42">
        <f t="shared" si="34"/>
        <v>-29.792578409135871</v>
      </c>
      <c r="L49" s="42">
        <f t="shared" si="34"/>
        <v>-31.483115052607673</v>
      </c>
      <c r="M49" s="42">
        <f t="shared" si="34"/>
        <v>-32.0709518278559</v>
      </c>
      <c r="N49" s="42">
        <f t="shared" si="34"/>
        <v>-31.666390017636857</v>
      </c>
      <c r="O49" s="42">
        <f t="shared" si="34"/>
        <v>-30.368697645949602</v>
      </c>
      <c r="P49" s="42">
        <f t="shared" si="34"/>
        <v>-28.267213117048691</v>
      </c>
      <c r="Q49" s="42">
        <f t="shared" si="34"/>
        <v>-25.442338459233035</v>
      </c>
      <c r="R49" s="42">
        <f t="shared" si="34"/>
        <v>-21.966433216066456</v>
      </c>
      <c r="S49" s="42">
        <f t="shared" si="34"/>
        <v>-17.904618923106469</v>
      </c>
      <c r="T49" s="42">
        <f t="shared" si="34"/>
        <v>-13.315503114128203</v>
      </c>
      <c r="U49" s="42">
        <f t="shared" si="34"/>
        <v>-8.2518309061777462</v>
      </c>
      <c r="V49" s="42">
        <f t="shared" si="34"/>
        <v>-2.7610714076274139</v>
      </c>
      <c r="W49" s="42">
        <f t="shared" si="34"/>
        <v>3.1140545312174694</v>
      </c>
      <c r="X49" s="42">
        <f t="shared" si="34"/>
        <v>9.3350993575506624</v>
      </c>
      <c r="Y49" s="42">
        <f t="shared" si="34"/>
        <v>15.867461365033829</v>
      </c>
    </row>
    <row r="50" spans="1:27">
      <c r="B50" s="22" t="s">
        <v>72</v>
      </c>
      <c r="D50" s="255" t="s">
        <v>203</v>
      </c>
      <c r="E50" s="255" t="s">
        <v>151</v>
      </c>
      <c r="F50" s="42">
        <f>SUM(F48:F49)</f>
        <v>1000</v>
      </c>
      <c r="G50" s="42">
        <f>SUM(G48:G49)</f>
        <v>960.66136884462287</v>
      </c>
      <c r="H50" s="42">
        <f t="shared" ref="H50:Y50" si="35">SUM(H48:H49)</f>
        <v>921.53783249173216</v>
      </c>
      <c r="I50" s="42">
        <f t="shared" si="35"/>
        <v>882.38436646447894</v>
      </c>
      <c r="J50" s="42">
        <f t="shared" si="35"/>
        <v>842.97245607249681</v>
      </c>
      <c r="K50" s="42">
        <f t="shared" si="35"/>
        <v>803.08806613726938</v>
      </c>
      <c r="L50" s="42">
        <f t="shared" si="35"/>
        <v>762.52976608163203</v>
      </c>
      <c r="M50" s="42">
        <f t="shared" si="35"/>
        <v>721.10698113376577</v>
      </c>
      <c r="N50" s="42">
        <f t="shared" si="35"/>
        <v>678.6383375292462</v>
      </c>
      <c r="O50" s="42">
        <f t="shared" si="35"/>
        <v>634.95006382296424</v>
      </c>
      <c r="P50" s="42">
        <f t="shared" si="35"/>
        <v>589.8743998113423</v>
      </c>
      <c r="Q50" s="42">
        <f t="shared" si="35"/>
        <v>543.24794543488656</v>
      </c>
      <c r="R50" s="42">
        <f t="shared" si="35"/>
        <v>494.90984703436675</v>
      </c>
      <c r="S50" s="42">
        <f t="shared" si="35"/>
        <v>444.69965190103119</v>
      </c>
      <c r="T50" s="42">
        <f t="shared" si="35"/>
        <v>392.45452872304395</v>
      </c>
      <c r="U50" s="42">
        <f t="shared" si="35"/>
        <v>338.00526292820916</v>
      </c>
      <c r="V50" s="42">
        <f t="shared" si="35"/>
        <v>281.16974553656991</v>
      </c>
      <c r="W50" s="42">
        <f t="shared" si="35"/>
        <v>221.74078357824942</v>
      </c>
      <c r="X50" s="42">
        <f t="shared" si="35"/>
        <v>159.4587866365126</v>
      </c>
      <c r="Y50" s="42">
        <f t="shared" si="35"/>
        <v>93.93177875009404</v>
      </c>
    </row>
    <row r="51" spans="1:27">
      <c r="B51" s="22" t="s">
        <v>98</v>
      </c>
      <c r="D51" s="255"/>
      <c r="E51" s="256"/>
      <c r="F51" s="147">
        <f t="shared" ref="F51:Y51" si="36">-F50</f>
        <v>-1000</v>
      </c>
      <c r="G51" s="147">
        <f t="shared" si="36"/>
        <v>-960.66136884462287</v>
      </c>
      <c r="H51" s="147">
        <f t="shared" si="36"/>
        <v>-921.53783249173216</v>
      </c>
      <c r="I51" s="147">
        <f t="shared" si="36"/>
        <v>-882.38436646447894</v>
      </c>
      <c r="J51" s="147">
        <f t="shared" si="36"/>
        <v>-842.97245607249681</v>
      </c>
      <c r="K51" s="147">
        <f t="shared" si="36"/>
        <v>-803.08806613726938</v>
      </c>
      <c r="L51" s="147">
        <f t="shared" si="36"/>
        <v>-762.52976608163203</v>
      </c>
      <c r="M51" s="147">
        <f t="shared" si="36"/>
        <v>-721.10698113376577</v>
      </c>
      <c r="N51" s="147">
        <f t="shared" si="36"/>
        <v>-678.6383375292462</v>
      </c>
      <c r="O51" s="147">
        <f t="shared" si="36"/>
        <v>-634.95006382296424</v>
      </c>
      <c r="P51" s="147">
        <f t="shared" si="36"/>
        <v>-589.8743998113423</v>
      </c>
      <c r="Q51" s="147">
        <f t="shared" si="36"/>
        <v>-543.24794543488656</v>
      </c>
      <c r="R51" s="147">
        <f t="shared" si="36"/>
        <v>-494.90984703436675</v>
      </c>
      <c r="S51" s="147">
        <f t="shared" si="36"/>
        <v>-444.69965190103119</v>
      </c>
      <c r="T51" s="147">
        <f t="shared" si="36"/>
        <v>-392.45452872304395</v>
      </c>
      <c r="U51" s="147">
        <f t="shared" si="36"/>
        <v>-338.00526292820916</v>
      </c>
      <c r="V51" s="147">
        <f t="shared" si="36"/>
        <v>-281.16974553656991</v>
      </c>
      <c r="W51" s="147">
        <f t="shared" si="36"/>
        <v>-221.74078357824942</v>
      </c>
      <c r="X51" s="147">
        <f t="shared" si="36"/>
        <v>-159.4587866365126</v>
      </c>
      <c r="Y51" s="147">
        <f t="shared" si="36"/>
        <v>-93.93177875009404</v>
      </c>
    </row>
    <row r="52" spans="1:27" ht="15.75" thickBot="1">
      <c r="B52" s="22" t="s">
        <v>97</v>
      </c>
      <c r="D52" s="255"/>
      <c r="E52" s="256"/>
      <c r="F52" s="28">
        <f>G50+F37-F61</f>
        <v>1090</v>
      </c>
      <c r="G52" s="28">
        <f t="shared" ref="G52:X52" si="37">H50+G37-G61</f>
        <v>1047.1208920406389</v>
      </c>
      <c r="H52" s="28">
        <f t="shared" si="37"/>
        <v>1004.4762374159881</v>
      </c>
      <c r="I52" s="28">
        <f t="shared" si="37"/>
        <v>961.79895944628208</v>
      </c>
      <c r="J52" s="28">
        <f t="shared" si="37"/>
        <v>918.83997711902157</v>
      </c>
      <c r="K52" s="28">
        <f t="shared" si="37"/>
        <v>875.36599208962366</v>
      </c>
      <c r="L52" s="28">
        <f t="shared" si="37"/>
        <v>831.15744502897894</v>
      </c>
      <c r="M52" s="28">
        <f t="shared" si="37"/>
        <v>786.00660943580453</v>
      </c>
      <c r="N52" s="28">
        <f t="shared" si="37"/>
        <v>739.7157879068784</v>
      </c>
      <c r="O52" s="28">
        <f t="shared" si="37"/>
        <v>692.09556956703125</v>
      </c>
      <c r="P52" s="28">
        <f t="shared" si="37"/>
        <v>642.96309579436297</v>
      </c>
      <c r="Q52" s="28">
        <f t="shared" si="37"/>
        <v>592.14026052402642</v>
      </c>
      <c r="R52" s="28">
        <f t="shared" si="37"/>
        <v>539.45173326745964</v>
      </c>
      <c r="S52" s="28">
        <f t="shared" si="37"/>
        <v>484.72262057212396</v>
      </c>
      <c r="T52" s="28">
        <f t="shared" si="37"/>
        <v>427.77543630811795</v>
      </c>
      <c r="U52" s="28">
        <f t="shared" si="37"/>
        <v>368.42573659174809</v>
      </c>
      <c r="V52" s="28">
        <f t="shared" si="37"/>
        <v>306.4750226348612</v>
      </c>
      <c r="W52" s="28">
        <f t="shared" si="37"/>
        <v>241.69745410029188</v>
      </c>
      <c r="X52" s="28">
        <f t="shared" si="37"/>
        <v>173.81007743379874</v>
      </c>
      <c r="Y52" s="28" t="e">
        <f>#REF!+Y37-Y61</f>
        <v>#REF!</v>
      </c>
    </row>
    <row r="53" spans="1:27" ht="15.75" thickBot="1">
      <c r="B53" s="23" t="s">
        <v>47</v>
      </c>
      <c r="C53" s="23"/>
      <c r="D53" s="255" t="s">
        <v>204</v>
      </c>
      <c r="E53" s="267"/>
      <c r="F53" s="268">
        <f>IRR(F51:F52,0.09)</f>
        <v>8.9999999999999858E-2</v>
      </c>
      <c r="G53" s="46">
        <f>IRR(G51:G52,0.09)</f>
        <v>8.9999999999999858E-2</v>
      </c>
      <c r="H53" s="46">
        <f t="shared" ref="H53:X53" si="38">IRR(H51:H52,0.09)</f>
        <v>8.9999999999999858E-2</v>
      </c>
      <c r="I53" s="46">
        <f t="shared" si="38"/>
        <v>8.9999999999999858E-2</v>
      </c>
      <c r="J53" s="46">
        <f t="shared" si="38"/>
        <v>8.9999999999999858E-2</v>
      </c>
      <c r="K53" s="46">
        <f t="shared" si="38"/>
        <v>8.9999999999999858E-2</v>
      </c>
      <c r="L53" s="46">
        <f t="shared" si="38"/>
        <v>8.9999999999999858E-2</v>
      </c>
      <c r="M53" s="46">
        <f t="shared" si="38"/>
        <v>8.9999999999999858E-2</v>
      </c>
      <c r="N53" s="46">
        <f t="shared" si="38"/>
        <v>8.9999999999999858E-2</v>
      </c>
      <c r="O53" s="46">
        <f t="shared" si="38"/>
        <v>9.0000000000000302E-2</v>
      </c>
      <c r="P53" s="46">
        <f t="shared" si="38"/>
        <v>8.9999999999999858E-2</v>
      </c>
      <c r="Q53" s="46">
        <f t="shared" si="38"/>
        <v>8.9999999999999858E-2</v>
      </c>
      <c r="R53" s="46">
        <f t="shared" si="38"/>
        <v>8.9999999999999636E-2</v>
      </c>
      <c r="S53" s="46">
        <f t="shared" si="38"/>
        <v>8.9999999999999858E-2</v>
      </c>
      <c r="T53" s="46">
        <f t="shared" si="38"/>
        <v>9.0000000000000302E-2</v>
      </c>
      <c r="U53" s="46">
        <f t="shared" si="38"/>
        <v>9.0000000000000302E-2</v>
      </c>
      <c r="V53" s="46">
        <f t="shared" si="38"/>
        <v>8.9999999999999858E-2</v>
      </c>
      <c r="W53" s="46">
        <f t="shared" si="38"/>
        <v>9.000000000000008E-2</v>
      </c>
      <c r="X53" s="46">
        <f t="shared" si="38"/>
        <v>8.9999999999999858E-2</v>
      </c>
      <c r="Y53" s="47" t="e">
        <f>IRR(Y51:Y52,0.09)</f>
        <v>#VALUE!</v>
      </c>
    </row>
    <row r="54" spans="1:27" ht="27.75" customHeight="1">
      <c r="D54" s="255"/>
      <c r="E54" s="256"/>
      <c r="F54" s="285" t="s">
        <v>234</v>
      </c>
      <c r="G54" s="12"/>
      <c r="H54" s="12"/>
      <c r="I54" s="12"/>
      <c r="J54" s="12"/>
      <c r="K54" s="12"/>
      <c r="L54" s="12"/>
      <c r="M54" s="12"/>
      <c r="N54" s="12"/>
      <c r="O54" s="12"/>
      <c r="P54" s="12"/>
    </row>
    <row r="55" spans="1:27" ht="15.75">
      <c r="A55" s="262"/>
      <c r="B55" s="289" t="s">
        <v>142</v>
      </c>
      <c r="C55" s="289"/>
      <c r="D55" s="289"/>
      <c r="E55" s="289"/>
      <c r="F55" s="290" t="s">
        <v>229</v>
      </c>
      <c r="G55" s="290"/>
      <c r="H55" s="290"/>
      <c r="I55" s="290"/>
      <c r="J55" s="290"/>
      <c r="K55" s="290"/>
      <c r="L55" s="290"/>
      <c r="M55" s="290"/>
      <c r="N55" s="290"/>
      <c r="O55" s="290"/>
      <c r="P55" s="290"/>
      <c r="Q55" s="290"/>
      <c r="R55" s="290"/>
      <c r="S55" s="290"/>
      <c r="T55" s="290"/>
      <c r="U55" s="290"/>
      <c r="V55" s="290"/>
      <c r="W55" s="290"/>
      <c r="X55" s="290"/>
      <c r="Y55" s="291"/>
    </row>
    <row r="56" spans="1:27">
      <c r="B56" s="22" t="s">
        <v>168</v>
      </c>
      <c r="C56" s="252"/>
      <c r="D56" s="252"/>
      <c r="E56" s="248"/>
      <c r="F56" s="20">
        <f t="shared" ref="F56:Y56" si="39">F35</f>
        <v>151.72592592592594</v>
      </c>
      <c r="G56" s="20">
        <f t="shared" si="39"/>
        <v>149.77510805099175</v>
      </c>
      <c r="H56" s="20">
        <f t="shared" si="39"/>
        <v>147.93343237752492</v>
      </c>
      <c r="I56" s="20">
        <f t="shared" si="39"/>
        <v>146.17631080645222</v>
      </c>
      <c r="J56" s="20">
        <f t="shared" si="39"/>
        <v>144.48124636361104</v>
      </c>
      <c r="K56" s="20">
        <f t="shared" si="39"/>
        <v>142.82764768313703</v>
      </c>
      <c r="L56" s="20">
        <f t="shared" si="39"/>
        <v>141.19667569811722</v>
      </c>
      <c r="M56" s="20">
        <f t="shared" si="39"/>
        <v>139.57112581280731</v>
      </c>
      <c r="N56" s="20">
        <f t="shared" si="39"/>
        <v>137.93535228143355</v>
      </c>
      <c r="O56" s="20">
        <f t="shared" si="39"/>
        <v>136.27524735406644</v>
      </c>
      <c r="P56" s="20">
        <f t="shared" si="39"/>
        <v>134.57829817214997</v>
      </c>
      <c r="Q56" s="20">
        <f t="shared" si="39"/>
        <v>132.83376408125545</v>
      </c>
      <c r="R56" s="20">
        <f t="shared" si="39"/>
        <v>131.03305656400153</v>
      </c>
      <c r="S56" s="20">
        <f t="shared" si="39"/>
        <v>129.17048925833024</v>
      </c>
      <c r="T56" s="20">
        <f t="shared" si="39"/>
        <v>127.24476596232086</v>
      </c>
      <c r="U56" s="20">
        <f t="shared" si="39"/>
        <v>125.26209981782776</v>
      </c>
      <c r="V56" s="20">
        <f t="shared" si="39"/>
        <v>123.24344562953941</v>
      </c>
      <c r="W56" s="20">
        <f t="shared" si="39"/>
        <v>121.24420091303577</v>
      </c>
      <c r="X56" s="20">
        <f t="shared" si="39"/>
        <v>119.42434411729224</v>
      </c>
      <c r="Y56" s="21">
        <f t="shared" si="39"/>
        <v>120.6441901687426</v>
      </c>
    </row>
    <row r="57" spans="1:27">
      <c r="B57" s="22" t="s">
        <v>39</v>
      </c>
      <c r="C57" s="220"/>
      <c r="D57" s="220"/>
      <c r="E57" s="221"/>
      <c r="F57" s="26">
        <f t="shared" ref="F57:Y57" si="40">F15</f>
        <v>66.685587459680278</v>
      </c>
      <c r="G57" s="26">
        <f t="shared" si="40"/>
        <v>60.015136097416274</v>
      </c>
      <c r="H57" s="26">
        <f t="shared" si="40"/>
        <v>54.01191918672297</v>
      </c>
      <c r="I57" s="26">
        <f t="shared" si="40"/>
        <v>48.609194345535869</v>
      </c>
      <c r="J57" s="26">
        <f t="shared" si="40"/>
        <v>43.746895324225129</v>
      </c>
      <c r="K57" s="26">
        <f t="shared" si="40"/>
        <v>39.370964202875491</v>
      </c>
      <c r="L57" s="26">
        <f t="shared" si="40"/>
        <v>35.432750387791302</v>
      </c>
      <c r="M57" s="26">
        <f t="shared" si="40"/>
        <v>31.888469725408186</v>
      </c>
      <c r="N57" s="26">
        <f t="shared" si="40"/>
        <v>28.698717720164574</v>
      </c>
      <c r="O57" s="26">
        <f t="shared" si="40"/>
        <v>25.82803144440151</v>
      </c>
      <c r="P57" s="26">
        <f t="shared" si="40"/>
        <v>23.244495269705997</v>
      </c>
      <c r="Q57" s="26">
        <f t="shared" si="40"/>
        <v>20.919386036309842</v>
      </c>
      <c r="R57" s="26">
        <f t="shared" si="40"/>
        <v>18.826853715619109</v>
      </c>
      <c r="S57" s="26">
        <f t="shared" si="40"/>
        <v>16.943634015553823</v>
      </c>
      <c r="T57" s="26">
        <f t="shared" si="40"/>
        <v>15.248789733510282</v>
      </c>
      <c r="U57" s="26">
        <f t="shared" si="40"/>
        <v>13.723477981367871</v>
      </c>
      <c r="V57" s="26">
        <f t="shared" si="40"/>
        <v>12.350740694601617</v>
      </c>
      <c r="W57" s="26">
        <f t="shared" si="40"/>
        <v>11.115316096429085</v>
      </c>
      <c r="X57" s="26">
        <f t="shared" si="40"/>
        <v>10.003469020893464</v>
      </c>
      <c r="Y57" s="27">
        <f t="shared" si="40"/>
        <v>90.002838208454065</v>
      </c>
    </row>
    <row r="58" spans="1:27">
      <c r="B58" s="22" t="s">
        <v>143</v>
      </c>
      <c r="C58" s="220"/>
      <c r="D58" s="220"/>
      <c r="E58" s="221"/>
      <c r="F58" s="26">
        <f>F36</f>
        <v>10</v>
      </c>
      <c r="G58" s="26">
        <f>G36</f>
        <v>10.199999999999999</v>
      </c>
      <c r="H58" s="26">
        <f t="shared" ref="H58:Y58" si="41">H36</f>
        <v>10.404</v>
      </c>
      <c r="I58" s="26">
        <f t="shared" si="41"/>
        <v>10.612080000000001</v>
      </c>
      <c r="J58" s="26">
        <f t="shared" si="41"/>
        <v>10.824321600000001</v>
      </c>
      <c r="K58" s="26">
        <f t="shared" si="41"/>
        <v>11.040808032000001</v>
      </c>
      <c r="L58" s="26">
        <f t="shared" si="41"/>
        <v>11.261624192640001</v>
      </c>
      <c r="M58" s="26">
        <f t="shared" si="41"/>
        <v>11.486856676492801</v>
      </c>
      <c r="N58" s="26">
        <f t="shared" si="41"/>
        <v>11.716593810022657</v>
      </c>
      <c r="O58" s="26">
        <f t="shared" si="41"/>
        <v>11.95092568622311</v>
      </c>
      <c r="P58" s="26">
        <f t="shared" si="41"/>
        <v>12.189944199947572</v>
      </c>
      <c r="Q58" s="26">
        <f t="shared" si="41"/>
        <v>12.433743083946524</v>
      </c>
      <c r="R58" s="26">
        <f t="shared" si="41"/>
        <v>12.682417945625454</v>
      </c>
      <c r="S58" s="26">
        <f t="shared" si="41"/>
        <v>12.936066304537963</v>
      </c>
      <c r="T58" s="26">
        <f t="shared" si="41"/>
        <v>13.194787630628722</v>
      </c>
      <c r="U58" s="26">
        <f t="shared" si="41"/>
        <v>13.458683383241297</v>
      </c>
      <c r="V58" s="26">
        <f t="shared" si="41"/>
        <v>13.727857050906124</v>
      </c>
      <c r="W58" s="26">
        <f t="shared" si="41"/>
        <v>14.002414191924247</v>
      </c>
      <c r="X58" s="26">
        <f t="shared" si="41"/>
        <v>14.282462475762733</v>
      </c>
      <c r="Y58" s="27">
        <f t="shared" si="41"/>
        <v>14.568111725277987</v>
      </c>
    </row>
    <row r="59" spans="1:27">
      <c r="B59" s="22" t="s">
        <v>77</v>
      </c>
      <c r="C59" s="220"/>
      <c r="D59" s="220"/>
      <c r="E59" s="221"/>
      <c r="F59" s="50">
        <f t="shared" ref="F59:Y59" si="42">F43</f>
        <v>-30.800000000000004</v>
      </c>
      <c r="G59" s="50">
        <f t="shared" si="42"/>
        <v>-29.588370160414385</v>
      </c>
      <c r="H59" s="50">
        <f t="shared" si="42"/>
        <v>-28.383365240745356</v>
      </c>
      <c r="I59" s="50">
        <f t="shared" si="42"/>
        <v>-27.177438487105952</v>
      </c>
      <c r="J59" s="50">
        <f t="shared" si="42"/>
        <v>-25.963551647032904</v>
      </c>
      <c r="K59" s="50">
        <f t="shared" si="42"/>
        <v>-24.735112437027901</v>
      </c>
      <c r="L59" s="50">
        <f t="shared" si="42"/>
        <v>-23.485916795314267</v>
      </c>
      <c r="M59" s="50">
        <f t="shared" si="42"/>
        <v>-22.21009501891999</v>
      </c>
      <c r="N59" s="50">
        <f t="shared" si="42"/>
        <v>-20.902060795900784</v>
      </c>
      <c r="O59" s="50">
        <f t="shared" si="42"/>
        <v>-19.5564619657473</v>
      </c>
      <c r="P59" s="50">
        <f t="shared" si="42"/>
        <v>-18.168131514189344</v>
      </c>
      <c r="Q59" s="50">
        <f t="shared" si="42"/>
        <v>-16.732036719394507</v>
      </c>
      <c r="R59" s="50">
        <f t="shared" si="42"/>
        <v>-15.243223288658498</v>
      </c>
      <c r="S59" s="50">
        <f t="shared" si="42"/>
        <v>-13.696749278551762</v>
      </c>
      <c r="T59" s="50">
        <f t="shared" si="42"/>
        <v>-12.087599484669754</v>
      </c>
      <c r="U59" s="50">
        <f t="shared" si="42"/>
        <v>-10.410562098188844</v>
      </c>
      <c r="V59" s="50">
        <f t="shared" si="42"/>
        <v>-8.6600281625263538</v>
      </c>
      <c r="W59" s="50">
        <f t="shared" si="42"/>
        <v>-6.8296161342100836</v>
      </c>
      <c r="X59" s="50">
        <f t="shared" si="42"/>
        <v>-4.9113306284045883</v>
      </c>
      <c r="Y59" s="51">
        <f t="shared" si="42"/>
        <v>-2.8930987855028967</v>
      </c>
      <c r="Z59" s="44"/>
      <c r="AA59" s="44"/>
    </row>
    <row r="60" spans="1:27" ht="15.75" thickBot="1">
      <c r="B60" s="22" t="s">
        <v>95</v>
      </c>
      <c r="C60" s="220"/>
      <c r="D60" s="220"/>
      <c r="E60" s="221"/>
      <c r="F60" s="26">
        <f>F56-F57-F58+F59</f>
        <v>44.240338466245653</v>
      </c>
      <c r="G60" s="75">
        <f>G56-G57-G58+G59</f>
        <v>49.971601793161085</v>
      </c>
      <c r="H60" s="75">
        <f t="shared" ref="H60:Y60" si="43">H56-H57-H58+H59</f>
        <v>55.134147950056608</v>
      </c>
      <c r="I60" s="75">
        <f t="shared" si="43"/>
        <v>59.777597973810394</v>
      </c>
      <c r="J60" s="75">
        <f t="shared" si="43"/>
        <v>63.946477792352994</v>
      </c>
      <c r="K60" s="75">
        <f t="shared" si="43"/>
        <v>67.680763011233637</v>
      </c>
      <c r="L60" s="75">
        <f t="shared" si="43"/>
        <v>71.01638432237165</v>
      </c>
      <c r="M60" s="75">
        <f t="shared" si="43"/>
        <v>73.985704391986332</v>
      </c>
      <c r="N60" s="75">
        <f t="shared" si="43"/>
        <v>76.617979955345533</v>
      </c>
      <c r="O60" s="75">
        <f t="shared" si="43"/>
        <v>78.939828257694501</v>
      </c>
      <c r="P60" s="75">
        <f t="shared" si="43"/>
        <v>80.975727188307062</v>
      </c>
      <c r="Q60" s="75">
        <f t="shared" si="43"/>
        <v>82.748598241604583</v>
      </c>
      <c r="R60" s="75">
        <f t="shared" si="43"/>
        <v>84.28056161409846</v>
      </c>
      <c r="S60" s="75">
        <f t="shared" si="43"/>
        <v>85.594039659686686</v>
      </c>
      <c r="T60" s="75">
        <f t="shared" si="43"/>
        <v>86.7135891135121</v>
      </c>
      <c r="U60" s="75">
        <f t="shared" si="43"/>
        <v>87.669376355029755</v>
      </c>
      <c r="V60" s="75">
        <f t="shared" si="43"/>
        <v>88.504819721505314</v>
      </c>
      <c r="W60" s="75">
        <f t="shared" si="43"/>
        <v>89.296854490472356</v>
      </c>
      <c r="X60" s="75">
        <f t="shared" si="43"/>
        <v>90.227081992231462</v>
      </c>
      <c r="Y60" s="52">
        <f t="shared" si="43"/>
        <v>13.180141449507648</v>
      </c>
    </row>
    <row r="61" spans="1:27">
      <c r="B61" s="22" t="s">
        <v>48</v>
      </c>
      <c r="C61" s="220"/>
      <c r="D61" s="220"/>
      <c r="E61" s="221"/>
      <c r="F61" s="53">
        <f t="shared" ref="F61:Y61" si="44">Tax*F60</f>
        <v>12.387294770548785</v>
      </c>
      <c r="G61" s="53">
        <f t="shared" si="44"/>
        <v>13.992048502085105</v>
      </c>
      <c r="H61" s="53">
        <f t="shared" si="44"/>
        <v>15.437561426015852</v>
      </c>
      <c r="I61" s="53">
        <f t="shared" si="44"/>
        <v>16.737727432666912</v>
      </c>
      <c r="J61" s="53">
        <f t="shared" si="44"/>
        <v>17.905013781858841</v>
      </c>
      <c r="K61" s="53">
        <f t="shared" si="44"/>
        <v>18.95061364314542</v>
      </c>
      <c r="L61" s="53">
        <f t="shared" si="44"/>
        <v>19.884587610264063</v>
      </c>
      <c r="M61" s="53">
        <f t="shared" si="44"/>
        <v>20.715997229756177</v>
      </c>
      <c r="N61" s="53">
        <f t="shared" si="44"/>
        <v>21.45303438749675</v>
      </c>
      <c r="O61" s="53">
        <f t="shared" si="44"/>
        <v>22.103151912154463</v>
      </c>
      <c r="P61" s="53">
        <f t="shared" si="44"/>
        <v>22.673203612725981</v>
      </c>
      <c r="Q61" s="53">
        <f t="shared" si="44"/>
        <v>23.169607507649285</v>
      </c>
      <c r="R61" s="53">
        <f t="shared" si="44"/>
        <v>23.598557251947572</v>
      </c>
      <c r="S61" s="53">
        <f t="shared" si="44"/>
        <v>23.966331104712275</v>
      </c>
      <c r="T61" s="53">
        <f t="shared" si="44"/>
        <v>24.27980495178339</v>
      </c>
      <c r="U61" s="53">
        <f t="shared" si="44"/>
        <v>24.547425379408335</v>
      </c>
      <c r="V61" s="53">
        <f t="shared" si="44"/>
        <v>24.78134952202149</v>
      </c>
      <c r="W61" s="53">
        <f t="shared" si="44"/>
        <v>25.003119257332262</v>
      </c>
      <c r="X61" s="53">
        <f t="shared" si="44"/>
        <v>25.263582957824813</v>
      </c>
      <c r="Y61" s="54">
        <f t="shared" si="44"/>
        <v>3.6904396058621418</v>
      </c>
    </row>
    <row r="62" spans="1:27">
      <c r="B62" s="23" t="s">
        <v>240</v>
      </c>
      <c r="C62" s="244"/>
      <c r="D62" s="244"/>
      <c r="E62" s="249"/>
      <c r="F62" s="206">
        <f>-F29</f>
        <v>9.3386311553771435</v>
      </c>
      <c r="G62" s="206">
        <f>-(G29-F29)</f>
        <v>7.4709047739432215</v>
      </c>
      <c r="H62" s="206">
        <f t="shared" ref="H62:Y62" si="45">-(H29-G29)</f>
        <v>5.7900040389490961</v>
      </c>
      <c r="I62" s="206">
        <f t="shared" si="45"/>
        <v>4.2772410834167083</v>
      </c>
      <c r="J62" s="206">
        <f t="shared" si="45"/>
        <v>2.9157973574497014</v>
      </c>
      <c r="K62" s="206">
        <f t="shared" si="45"/>
        <v>1.6905366434718019</v>
      </c>
      <c r="L62" s="206">
        <f t="shared" si="45"/>
        <v>0.58783677524822764</v>
      </c>
      <c r="M62" s="206">
        <f t="shared" si="45"/>
        <v>-0.40456181021904314</v>
      </c>
      <c r="N62" s="206">
        <f t="shared" si="45"/>
        <v>-1.2976923716872548</v>
      </c>
      <c r="O62" s="206">
        <f t="shared" si="45"/>
        <v>-2.1014845289009116</v>
      </c>
      <c r="P62" s="206">
        <f t="shared" si="45"/>
        <v>-2.8248746578156556</v>
      </c>
      <c r="Q62" s="206">
        <f t="shared" si="45"/>
        <v>-3.4759052431665793</v>
      </c>
      <c r="R62" s="206">
        <f t="shared" si="45"/>
        <v>-4.061814292959987</v>
      </c>
      <c r="S62" s="206">
        <f t="shared" si="45"/>
        <v>-4.5891158089782653</v>
      </c>
      <c r="T62" s="206">
        <f t="shared" si="45"/>
        <v>-5.0636722079504572</v>
      </c>
      <c r="U62" s="206">
        <f t="shared" si="45"/>
        <v>-5.4907594985503323</v>
      </c>
      <c r="V62" s="206">
        <f t="shared" si="45"/>
        <v>-5.8751259388448833</v>
      </c>
      <c r="W62" s="206">
        <f t="shared" si="45"/>
        <v>-6.221044826333193</v>
      </c>
      <c r="X62" s="206">
        <f t="shared" si="45"/>
        <v>-6.532362007483167</v>
      </c>
      <c r="Y62" s="207">
        <f t="shared" si="45"/>
        <v>15.867461365033803</v>
      </c>
      <c r="Z62" s="28"/>
    </row>
    <row r="63" spans="1:27">
      <c r="B63" s="23" t="s">
        <v>131</v>
      </c>
      <c r="C63" s="244"/>
      <c r="D63" s="244"/>
      <c r="E63" s="249"/>
      <c r="F63" s="229">
        <f>F61+F62</f>
        <v>21.725925925925928</v>
      </c>
      <c r="G63" s="229">
        <f>G61+G62</f>
        <v>21.462953276028326</v>
      </c>
      <c r="H63" s="229">
        <f t="shared" ref="H63:Y63" si="46">H61+H62</f>
        <v>21.227565464964947</v>
      </c>
      <c r="I63" s="229">
        <f t="shared" si="46"/>
        <v>21.01496851608362</v>
      </c>
      <c r="J63" s="229">
        <f t="shared" si="46"/>
        <v>20.820811139308542</v>
      </c>
      <c r="K63" s="229">
        <f t="shared" si="46"/>
        <v>20.641150286617222</v>
      </c>
      <c r="L63" s="229">
        <f t="shared" si="46"/>
        <v>20.472424385512291</v>
      </c>
      <c r="M63" s="229">
        <f t="shared" si="46"/>
        <v>20.311435419537133</v>
      </c>
      <c r="N63" s="229">
        <f t="shared" si="46"/>
        <v>20.155342015809495</v>
      </c>
      <c r="O63" s="229">
        <f t="shared" si="46"/>
        <v>20.001667383253551</v>
      </c>
      <c r="P63" s="229">
        <f t="shared" si="46"/>
        <v>19.848328954910325</v>
      </c>
      <c r="Q63" s="229">
        <f t="shared" si="46"/>
        <v>19.693702264482706</v>
      </c>
      <c r="R63" s="229">
        <f t="shared" si="46"/>
        <v>19.536742958987585</v>
      </c>
      <c r="S63" s="229">
        <f t="shared" si="46"/>
        <v>19.377215295734011</v>
      </c>
      <c r="T63" s="229">
        <f t="shared" si="46"/>
        <v>19.216132743832933</v>
      </c>
      <c r="U63" s="229">
        <f t="shared" si="46"/>
        <v>19.056665880858002</v>
      </c>
      <c r="V63" s="229">
        <f t="shared" si="46"/>
        <v>18.906223583176605</v>
      </c>
      <c r="W63" s="229">
        <f t="shared" si="46"/>
        <v>18.782074430999067</v>
      </c>
      <c r="X63" s="229">
        <f t="shared" si="46"/>
        <v>18.731220950341644</v>
      </c>
      <c r="Y63" s="230">
        <f t="shared" si="46"/>
        <v>19.557900970895943</v>
      </c>
    </row>
    <row r="64" spans="1:27">
      <c r="C64" s="220"/>
      <c r="D64" s="220"/>
      <c r="E64" s="221"/>
    </row>
    <row r="65" spans="1:25" hidden="1">
      <c r="C65" s="220"/>
      <c r="D65" s="220"/>
      <c r="E65" s="221"/>
    </row>
    <row r="66" spans="1:25" hidden="1">
      <c r="B66" s="22" t="s">
        <v>61</v>
      </c>
      <c r="C66" s="220"/>
      <c r="D66" s="220"/>
      <c r="E66" s="221"/>
    </row>
    <row r="67" spans="1:25" hidden="1">
      <c r="B67" s="22" t="s">
        <v>62</v>
      </c>
      <c r="C67" s="220"/>
      <c r="D67" s="220"/>
      <c r="E67" s="221"/>
    </row>
    <row r="68" spans="1:25" hidden="1">
      <c r="C68" s="220"/>
      <c r="D68" s="220"/>
      <c r="E68" s="221"/>
    </row>
    <row r="69" spans="1:25">
      <c r="B69" s="23" t="s">
        <v>231</v>
      </c>
      <c r="C69" s="244"/>
      <c r="D69" s="220"/>
      <c r="E69" s="221"/>
      <c r="F69" s="28">
        <f>F37-F61</f>
        <v>129.33863115537716</v>
      </c>
      <c r="G69" s="28">
        <f t="shared" ref="G69:Y69" si="47">G37-G61</f>
        <v>125.58305954890665</v>
      </c>
      <c r="H69" s="28">
        <f t="shared" si="47"/>
        <v>122.09187095150908</v>
      </c>
      <c r="I69" s="28">
        <f t="shared" si="47"/>
        <v>118.82650337378531</v>
      </c>
      <c r="J69" s="28">
        <f t="shared" si="47"/>
        <v>115.7519109817522</v>
      </c>
      <c r="K69" s="28">
        <f t="shared" si="47"/>
        <v>112.83622600799161</v>
      </c>
      <c r="L69" s="28">
        <f t="shared" si="47"/>
        <v>110.05046389521316</v>
      </c>
      <c r="M69" s="28">
        <f t="shared" si="47"/>
        <v>107.36827190655833</v>
      </c>
      <c r="N69" s="28">
        <f t="shared" si="47"/>
        <v>104.76572408391414</v>
      </c>
      <c r="O69" s="28">
        <f t="shared" si="47"/>
        <v>102.22116975568886</v>
      </c>
      <c r="P69" s="28">
        <f t="shared" si="47"/>
        <v>99.715150359476411</v>
      </c>
      <c r="Q69" s="28">
        <f t="shared" si="47"/>
        <v>97.230413489659639</v>
      </c>
      <c r="R69" s="28">
        <f t="shared" si="47"/>
        <v>94.752081366428499</v>
      </c>
      <c r="S69" s="28">
        <f t="shared" si="47"/>
        <v>92.268091849080008</v>
      </c>
      <c r="T69" s="28">
        <f t="shared" si="47"/>
        <v>89.770173379908741</v>
      </c>
      <c r="U69" s="28">
        <f t="shared" si="47"/>
        <v>87.255991055178129</v>
      </c>
      <c r="V69" s="28">
        <f t="shared" si="47"/>
        <v>84.734239056611798</v>
      </c>
      <c r="W69" s="28">
        <f t="shared" si="47"/>
        <v>82.238667463779265</v>
      </c>
      <c r="X69" s="28">
        <f t="shared" si="47"/>
        <v>79.878298683704699</v>
      </c>
      <c r="Y69" s="28">
        <f t="shared" si="47"/>
        <v>102.38563883760247</v>
      </c>
    </row>
    <row r="70" spans="1:25">
      <c r="B70" s="23" t="s">
        <v>96</v>
      </c>
      <c r="C70" s="244"/>
      <c r="D70" s="220"/>
      <c r="E70" s="221"/>
      <c r="F70" s="250">
        <f>IF(B5="No change",NPV(WACC,F69:Y69),"N/A")</f>
        <v>999.99999999999909</v>
      </c>
    </row>
    <row r="71" spans="1:25">
      <c r="C71" s="220"/>
      <c r="D71" s="220"/>
      <c r="E71" s="221"/>
      <c r="F71" s="77"/>
    </row>
    <row r="72" spans="1:25">
      <c r="A72" s="44"/>
      <c r="B72" s="44"/>
      <c r="C72" s="220"/>
      <c r="D72" s="220"/>
      <c r="E72" s="221"/>
      <c r="F72" s="149"/>
      <c r="G72" s="44"/>
      <c r="H72" s="44"/>
      <c r="I72" s="44"/>
      <c r="J72" s="44"/>
      <c r="K72" s="44"/>
      <c r="L72" s="44"/>
      <c r="M72" s="44"/>
      <c r="N72" s="44"/>
      <c r="O72" s="44"/>
      <c r="P72" s="44"/>
      <c r="Q72" s="44"/>
      <c r="R72" s="44"/>
      <c r="S72" s="44"/>
      <c r="T72" s="44"/>
      <c r="U72" s="44"/>
      <c r="V72" s="44"/>
      <c r="W72" s="44"/>
      <c r="X72" s="44"/>
      <c r="Y72" s="44"/>
    </row>
    <row r="73" spans="1:25" ht="22.5" customHeight="1">
      <c r="A73" s="269"/>
      <c r="B73" s="289" t="s">
        <v>142</v>
      </c>
      <c r="C73" s="289"/>
      <c r="D73" s="289"/>
      <c r="E73" s="289"/>
      <c r="F73" s="270" t="s">
        <v>236</v>
      </c>
      <c r="G73" s="271"/>
      <c r="H73" s="271"/>
      <c r="I73" s="271"/>
      <c r="J73" s="271"/>
      <c r="K73" s="271"/>
      <c r="L73" s="271"/>
      <c r="M73" s="271"/>
      <c r="N73" s="271"/>
      <c r="O73" s="271"/>
      <c r="P73" s="271"/>
      <c r="Q73" s="271"/>
      <c r="R73" s="271"/>
      <c r="S73" s="271"/>
      <c r="T73" s="271"/>
      <c r="U73" s="271"/>
      <c r="V73" s="271"/>
      <c r="W73" s="271"/>
      <c r="X73" s="271"/>
      <c r="Y73" s="272"/>
    </row>
    <row r="74" spans="1:25">
      <c r="A74" s="273"/>
      <c r="B74" s="274"/>
      <c r="C74" s="274"/>
      <c r="D74" s="274"/>
      <c r="E74" s="275"/>
      <c r="F74" s="274"/>
      <c r="G74" s="274"/>
      <c r="H74" s="274"/>
      <c r="I74" s="274"/>
      <c r="J74" s="274"/>
      <c r="K74" s="274"/>
      <c r="L74" s="274"/>
      <c r="M74" s="274"/>
      <c r="N74" s="274"/>
      <c r="O74" s="274"/>
      <c r="P74" s="274"/>
      <c r="Q74" s="274"/>
      <c r="R74" s="274"/>
      <c r="S74" s="274"/>
      <c r="T74" s="274"/>
      <c r="U74" s="274"/>
      <c r="V74" s="274"/>
      <c r="W74" s="274"/>
      <c r="X74" s="274"/>
      <c r="Y74" s="275"/>
    </row>
    <row r="75" spans="1:25">
      <c r="A75" s="219"/>
      <c r="B75" s="220" t="s">
        <v>169</v>
      </c>
      <c r="C75" s="220"/>
      <c r="D75" s="220"/>
      <c r="E75" s="221"/>
      <c r="F75" s="242">
        <f t="shared" ref="F75:Y75" si="48">(F33-(WACC*F49)-F31+F38)/(1-Tax)+F36+((-F15+F43)*Tax)/(1-Tax)</f>
        <v>138.75560487679101</v>
      </c>
      <c r="G75" s="242">
        <f t="shared" si="48"/>
        <v>140.56618031493718</v>
      </c>
      <c r="H75" s="242">
        <f t="shared" si="48"/>
        <v>141.99295209237175</v>
      </c>
      <c r="I75" s="242">
        <f t="shared" si="48"/>
        <v>143.06064068662937</v>
      </c>
      <c r="J75" s="242">
        <f t="shared" si="48"/>
        <v>143.79112544305829</v>
      </c>
      <c r="K75" s="242">
        <f t="shared" si="48"/>
        <v>144.20375242390151</v>
      </c>
      <c r="L75" s="242">
        <f t="shared" si="48"/>
        <v>144.31562511407063</v>
      </c>
      <c r="M75" s="242">
        <f t="shared" si="48"/>
        <v>144.14188619437132</v>
      </c>
      <c r="N75" s="242">
        <f t="shared" si="48"/>
        <v>143.69600154987049</v>
      </c>
      <c r="O75" s="242">
        <f t="shared" si="48"/>
        <v>142.99006307217252</v>
      </c>
      <c r="P75" s="242">
        <f t="shared" si="48"/>
        <v>142.03513683652503</v>
      </c>
      <c r="Q75" s="242">
        <f t="shared" si="48"/>
        <v>140.84170255972427</v>
      </c>
      <c r="R75" s="242">
        <f t="shared" si="48"/>
        <v>139.42026945623203</v>
      </c>
      <c r="S75" s="242">
        <f t="shared" si="48"/>
        <v>137.78233858063282</v>
      </c>
      <c r="T75" s="242">
        <f t="shared" si="48"/>
        <v>135.94208191818473</v>
      </c>
      <c r="U75" s="242">
        <f t="shared" si="48"/>
        <v>133.91963354019765</v>
      </c>
      <c r="V75" s="242">
        <f t="shared" si="48"/>
        <v>131.74847669277742</v>
      </c>
      <c r="W75" s="242">
        <f t="shared" si="48"/>
        <v>129.49528413320746</v>
      </c>
      <c r="X75" s="242">
        <f t="shared" si="48"/>
        <v>127.3301817079917</v>
      </c>
      <c r="Y75" s="276">
        <f t="shared" si="48"/>
        <v>96.6226167133442</v>
      </c>
    </row>
    <row r="76" spans="1:25">
      <c r="A76" s="219"/>
      <c r="B76" s="220" t="s">
        <v>143</v>
      </c>
      <c r="C76" s="220"/>
      <c r="D76" s="220"/>
      <c r="E76" s="221"/>
      <c r="F76" s="243">
        <f t="shared" ref="F76:Y76" si="49">F58</f>
        <v>10</v>
      </c>
      <c r="G76" s="243">
        <f t="shared" si="49"/>
        <v>10.199999999999999</v>
      </c>
      <c r="H76" s="243">
        <f t="shared" si="49"/>
        <v>10.404</v>
      </c>
      <c r="I76" s="243">
        <f t="shared" si="49"/>
        <v>10.612080000000001</v>
      </c>
      <c r="J76" s="243">
        <f t="shared" si="49"/>
        <v>10.824321600000001</v>
      </c>
      <c r="K76" s="243">
        <f t="shared" si="49"/>
        <v>11.040808032000001</v>
      </c>
      <c r="L76" s="243">
        <f t="shared" si="49"/>
        <v>11.261624192640001</v>
      </c>
      <c r="M76" s="243">
        <f t="shared" si="49"/>
        <v>11.486856676492801</v>
      </c>
      <c r="N76" s="243">
        <f t="shared" si="49"/>
        <v>11.716593810022657</v>
      </c>
      <c r="O76" s="243">
        <f t="shared" si="49"/>
        <v>11.95092568622311</v>
      </c>
      <c r="P76" s="243">
        <f t="shared" si="49"/>
        <v>12.189944199947572</v>
      </c>
      <c r="Q76" s="243">
        <f t="shared" si="49"/>
        <v>12.433743083946524</v>
      </c>
      <c r="R76" s="243">
        <f t="shared" si="49"/>
        <v>12.682417945625454</v>
      </c>
      <c r="S76" s="243">
        <f t="shared" si="49"/>
        <v>12.936066304537963</v>
      </c>
      <c r="T76" s="243">
        <f t="shared" si="49"/>
        <v>13.194787630628722</v>
      </c>
      <c r="U76" s="243">
        <f t="shared" si="49"/>
        <v>13.458683383241297</v>
      </c>
      <c r="V76" s="243">
        <f t="shared" si="49"/>
        <v>13.727857050906124</v>
      </c>
      <c r="W76" s="243">
        <f t="shared" si="49"/>
        <v>14.002414191924247</v>
      </c>
      <c r="X76" s="243">
        <f t="shared" si="49"/>
        <v>14.282462475762733</v>
      </c>
      <c r="Y76" s="277">
        <f t="shared" si="49"/>
        <v>14.568111725277987</v>
      </c>
    </row>
    <row r="77" spans="1:25">
      <c r="A77" s="219"/>
      <c r="B77" s="244" t="s">
        <v>170</v>
      </c>
      <c r="C77" s="220"/>
      <c r="D77" s="220"/>
      <c r="E77" s="221"/>
      <c r="F77" s="245">
        <f>F75-F76</f>
        <v>128.75560487679101</v>
      </c>
      <c r="G77" s="245">
        <f t="shared" ref="G77:Y77" si="50">G75-G76</f>
        <v>130.3661803149372</v>
      </c>
      <c r="H77" s="245">
        <f t="shared" si="50"/>
        <v>131.58895209237176</v>
      </c>
      <c r="I77" s="245">
        <f t="shared" si="50"/>
        <v>132.44856068662938</v>
      </c>
      <c r="J77" s="245">
        <f t="shared" si="50"/>
        <v>132.9668038430583</v>
      </c>
      <c r="K77" s="245">
        <f t="shared" si="50"/>
        <v>133.1629443919015</v>
      </c>
      <c r="L77" s="245">
        <f t="shared" si="50"/>
        <v>133.05400092143063</v>
      </c>
      <c r="M77" s="245">
        <f t="shared" si="50"/>
        <v>132.65502951787852</v>
      </c>
      <c r="N77" s="245">
        <f t="shared" si="50"/>
        <v>131.97940773984783</v>
      </c>
      <c r="O77" s="245">
        <f t="shared" si="50"/>
        <v>131.0391373859494</v>
      </c>
      <c r="P77" s="245">
        <f t="shared" si="50"/>
        <v>129.84519263657745</v>
      </c>
      <c r="Q77" s="245">
        <f t="shared" si="50"/>
        <v>128.40795947577774</v>
      </c>
      <c r="R77" s="245">
        <f t="shared" si="50"/>
        <v>126.73785151060657</v>
      </c>
      <c r="S77" s="245">
        <f t="shared" si="50"/>
        <v>124.84627227609487</v>
      </c>
      <c r="T77" s="245">
        <f t="shared" si="50"/>
        <v>122.747294287556</v>
      </c>
      <c r="U77" s="245">
        <f t="shared" si="50"/>
        <v>120.46095015695636</v>
      </c>
      <c r="V77" s="245">
        <f t="shared" si="50"/>
        <v>118.02061964187129</v>
      </c>
      <c r="W77" s="245">
        <f t="shared" si="50"/>
        <v>115.49286994128322</v>
      </c>
      <c r="X77" s="245">
        <f t="shared" si="50"/>
        <v>113.04771923222897</v>
      </c>
      <c r="Y77" s="278">
        <f t="shared" si="50"/>
        <v>82.054504988066213</v>
      </c>
    </row>
    <row r="78" spans="1:25">
      <c r="A78" s="219"/>
      <c r="B78" s="220" t="s">
        <v>172</v>
      </c>
      <c r="C78" s="220"/>
      <c r="D78" s="220"/>
      <c r="E78" s="221"/>
      <c r="F78" s="243">
        <f t="shared" ref="F78:Y78" si="51">F10</f>
        <v>50</v>
      </c>
      <c r="G78" s="243">
        <f t="shared" si="51"/>
        <v>51.05263157894737</v>
      </c>
      <c r="H78" s="243">
        <f t="shared" si="51"/>
        <v>52.130409356725146</v>
      </c>
      <c r="I78" s="243">
        <f t="shared" si="51"/>
        <v>53.234347437220492</v>
      </c>
      <c r="J78" s="243">
        <f t="shared" si="51"/>
        <v>54.365577320261437</v>
      </c>
      <c r="K78" s="243">
        <f t="shared" si="51"/>
        <v>55.525376303093687</v>
      </c>
      <c r="L78" s="243">
        <f t="shared" si="51"/>
        <v>56.715205795302836</v>
      </c>
      <c r="M78" s="243">
        <f t="shared" si="51"/>
        <v>57.936764073970899</v>
      </c>
      <c r="N78" s="243">
        <f t="shared" si="51"/>
        <v>59.192060628906923</v>
      </c>
      <c r="O78" s="243">
        <f t="shared" si="51"/>
        <v>60.483523769901261</v>
      </c>
      <c r="P78" s="243">
        <f t="shared" si="51"/>
        <v>61.814161292839096</v>
      </c>
      <c r="Q78" s="243">
        <f t="shared" si="51"/>
        <v>63.187809321568842</v>
      </c>
      <c r="R78" s="243">
        <f t="shared" si="51"/>
        <v>64.609535031304148</v>
      </c>
      <c r="S78" s="243">
        <f t="shared" si="51"/>
        <v>66.086324403448231</v>
      </c>
      <c r="T78" s="243">
        <f t="shared" si="51"/>
        <v>67.628338639528693</v>
      </c>
      <c r="U78" s="243">
        <f t="shared" si="51"/>
        <v>69.251418766877379</v>
      </c>
      <c r="V78" s="243">
        <f t="shared" si="51"/>
        <v>70.982704236049329</v>
      </c>
      <c r="W78" s="243">
        <f t="shared" si="51"/>
        <v>72.875576349010643</v>
      </c>
      <c r="X78" s="243">
        <f t="shared" si="51"/>
        <v>75.061843639480969</v>
      </c>
      <c r="Y78" s="277">
        <f t="shared" si="51"/>
        <v>78.064317385060207</v>
      </c>
    </row>
    <row r="79" spans="1:25">
      <c r="A79" s="219"/>
      <c r="B79" s="220" t="s">
        <v>171</v>
      </c>
      <c r="C79" s="220"/>
      <c r="D79" s="220"/>
      <c r="E79" s="221"/>
      <c r="F79" s="243">
        <f t="shared" ref="F79:Y79" si="52">F39</f>
        <v>20</v>
      </c>
      <c r="G79" s="243">
        <f t="shared" si="52"/>
        <v>19.400000000000002</v>
      </c>
      <c r="H79" s="243">
        <f t="shared" si="52"/>
        <v>18.766947368421054</v>
      </c>
      <c r="I79" s="243">
        <f t="shared" si="52"/>
        <v>18.099678128654968</v>
      </c>
      <c r="J79" s="243">
        <f t="shared" si="52"/>
        <v>17.39698474248366</v>
      </c>
      <c r="K79" s="243">
        <f t="shared" si="52"/>
        <v>16.657612890928107</v>
      </c>
      <c r="L79" s="243">
        <f t="shared" si="52"/>
        <v>15.880257622684795</v>
      </c>
      <c r="M79" s="243">
        <f t="shared" si="52"/>
        <v>15.063558659232433</v>
      </c>
      <c r="N79" s="243">
        <f t="shared" si="52"/>
        <v>14.206094550937662</v>
      </c>
      <c r="O79" s="243">
        <f t="shared" si="52"/>
        <v>13.306375229378277</v>
      </c>
      <c r="P79" s="243">
        <f t="shared" si="52"/>
        <v>12.362832258567819</v>
      </c>
      <c r="Q79" s="243">
        <f t="shared" si="52"/>
        <v>11.373805677882393</v>
      </c>
      <c r="R79" s="243">
        <f t="shared" si="52"/>
        <v>10.337525605008663</v>
      </c>
      <c r="S79" s="243">
        <f t="shared" si="52"/>
        <v>9.2520854164827533</v>
      </c>
      <c r="T79" s="243">
        <f t="shared" si="52"/>
        <v>8.115400636743443</v>
      </c>
      <c r="U79" s="243">
        <f t="shared" si="52"/>
        <v>6.9251418766877384</v>
      </c>
      <c r="V79" s="243">
        <f t="shared" si="52"/>
        <v>5.6786163388839466</v>
      </c>
      <c r="W79" s="243">
        <f t="shared" si="52"/>
        <v>4.3725345809406386</v>
      </c>
      <c r="X79" s="243">
        <f t="shared" si="52"/>
        <v>3.002473745579239</v>
      </c>
      <c r="Y79" s="277">
        <f t="shared" si="52"/>
        <v>0</v>
      </c>
    </row>
    <row r="80" spans="1:25">
      <c r="A80" s="219"/>
      <c r="B80" s="244" t="s">
        <v>173</v>
      </c>
      <c r="C80" s="220"/>
      <c r="D80" s="220"/>
      <c r="E80" s="221"/>
      <c r="F80" s="246">
        <f>F77-F78+F79</f>
        <v>98.755604876791011</v>
      </c>
      <c r="G80" s="246">
        <f t="shared" ref="G80:Y80" si="53">G77-G78+G79</f>
        <v>98.713548735989832</v>
      </c>
      <c r="H80" s="246">
        <f t="shared" si="53"/>
        <v>98.22549010406766</v>
      </c>
      <c r="I80" s="246">
        <f t="shared" si="53"/>
        <v>97.313891378063857</v>
      </c>
      <c r="J80" s="246">
        <f t="shared" si="53"/>
        <v>95.998211265280531</v>
      </c>
      <c r="K80" s="246">
        <f t="shared" si="53"/>
        <v>94.295180979735932</v>
      </c>
      <c r="L80" s="246">
        <f t="shared" si="53"/>
        <v>92.219052748812587</v>
      </c>
      <c r="M80" s="246">
        <f t="shared" si="53"/>
        <v>89.781824103140053</v>
      </c>
      <c r="N80" s="246">
        <f t="shared" si="53"/>
        <v>86.993441661878578</v>
      </c>
      <c r="O80" s="246">
        <f t="shared" si="53"/>
        <v>83.86198884542641</v>
      </c>
      <c r="P80" s="246">
        <f t="shared" si="53"/>
        <v>80.393863602306183</v>
      </c>
      <c r="Q80" s="246">
        <f t="shared" si="53"/>
        <v>76.593955832091297</v>
      </c>
      <c r="R80" s="246">
        <f t="shared" si="53"/>
        <v>72.465842084311092</v>
      </c>
      <c r="S80" s="246">
        <f t="shared" si="53"/>
        <v>68.012033289129391</v>
      </c>
      <c r="T80" s="246">
        <f t="shared" si="53"/>
        <v>63.234356284770755</v>
      </c>
      <c r="U80" s="246">
        <f t="shared" si="53"/>
        <v>58.134673266766718</v>
      </c>
      <c r="V80" s="246">
        <f t="shared" si="53"/>
        <v>52.716531744705911</v>
      </c>
      <c r="W80" s="246">
        <f t="shared" si="53"/>
        <v>46.989828173213212</v>
      </c>
      <c r="X80" s="246">
        <f t="shared" si="53"/>
        <v>40.988349338327239</v>
      </c>
      <c r="Y80" s="279">
        <f t="shared" si="53"/>
        <v>3.9901876030060066</v>
      </c>
    </row>
    <row r="81" spans="1:25">
      <c r="A81" s="219"/>
      <c r="B81" s="220" t="s">
        <v>174</v>
      </c>
      <c r="C81" s="220"/>
      <c r="D81" s="220"/>
      <c r="E81" s="221"/>
      <c r="F81" s="243">
        <f>F78</f>
        <v>50</v>
      </c>
      <c r="G81" s="243">
        <f t="shared" ref="G81:Y81" si="54">G78</f>
        <v>51.05263157894737</v>
      </c>
      <c r="H81" s="243">
        <f t="shared" si="54"/>
        <v>52.130409356725146</v>
      </c>
      <c r="I81" s="243">
        <f t="shared" si="54"/>
        <v>53.234347437220492</v>
      </c>
      <c r="J81" s="243">
        <f t="shared" si="54"/>
        <v>54.365577320261437</v>
      </c>
      <c r="K81" s="243">
        <f t="shared" si="54"/>
        <v>55.525376303093687</v>
      </c>
      <c r="L81" s="243">
        <f t="shared" si="54"/>
        <v>56.715205795302836</v>
      </c>
      <c r="M81" s="243">
        <f t="shared" si="54"/>
        <v>57.936764073970899</v>
      </c>
      <c r="N81" s="243">
        <f t="shared" si="54"/>
        <v>59.192060628906923</v>
      </c>
      <c r="O81" s="243">
        <f t="shared" si="54"/>
        <v>60.483523769901261</v>
      </c>
      <c r="P81" s="243">
        <f t="shared" si="54"/>
        <v>61.814161292839096</v>
      </c>
      <c r="Q81" s="243">
        <f t="shared" si="54"/>
        <v>63.187809321568842</v>
      </c>
      <c r="R81" s="243">
        <f t="shared" si="54"/>
        <v>64.609535031304148</v>
      </c>
      <c r="S81" s="243">
        <f t="shared" si="54"/>
        <v>66.086324403448231</v>
      </c>
      <c r="T81" s="243">
        <f t="shared" si="54"/>
        <v>67.628338639528693</v>
      </c>
      <c r="U81" s="243">
        <f t="shared" si="54"/>
        <v>69.251418766877379</v>
      </c>
      <c r="V81" s="243">
        <f t="shared" si="54"/>
        <v>70.982704236049329</v>
      </c>
      <c r="W81" s="243">
        <f t="shared" si="54"/>
        <v>72.875576349010643</v>
      </c>
      <c r="X81" s="243">
        <f t="shared" si="54"/>
        <v>75.061843639480969</v>
      </c>
      <c r="Y81" s="277">
        <f t="shared" si="54"/>
        <v>78.064317385060207</v>
      </c>
    </row>
    <row r="82" spans="1:25">
      <c r="A82" s="219"/>
      <c r="B82" s="220" t="s">
        <v>175</v>
      </c>
      <c r="C82" s="220"/>
      <c r="D82" s="220"/>
      <c r="E82" s="221"/>
      <c r="F82" s="247">
        <f t="shared" ref="F82:Y82" si="55">-F57</f>
        <v>-66.685587459680278</v>
      </c>
      <c r="G82" s="247">
        <f t="shared" si="55"/>
        <v>-60.015136097416274</v>
      </c>
      <c r="H82" s="247">
        <f t="shared" si="55"/>
        <v>-54.01191918672297</v>
      </c>
      <c r="I82" s="247">
        <f t="shared" si="55"/>
        <v>-48.609194345535869</v>
      </c>
      <c r="J82" s="247">
        <f t="shared" si="55"/>
        <v>-43.746895324225129</v>
      </c>
      <c r="K82" s="247">
        <f t="shared" si="55"/>
        <v>-39.370964202875491</v>
      </c>
      <c r="L82" s="247">
        <f t="shared" si="55"/>
        <v>-35.432750387791302</v>
      </c>
      <c r="M82" s="247">
        <f t="shared" si="55"/>
        <v>-31.888469725408186</v>
      </c>
      <c r="N82" s="247">
        <f t="shared" si="55"/>
        <v>-28.698717720164574</v>
      </c>
      <c r="O82" s="247">
        <f t="shared" si="55"/>
        <v>-25.82803144440151</v>
      </c>
      <c r="P82" s="247">
        <f t="shared" si="55"/>
        <v>-23.244495269705997</v>
      </c>
      <c r="Q82" s="247">
        <f t="shared" si="55"/>
        <v>-20.919386036309842</v>
      </c>
      <c r="R82" s="247">
        <f t="shared" si="55"/>
        <v>-18.826853715619109</v>
      </c>
      <c r="S82" s="247">
        <f t="shared" si="55"/>
        <v>-16.943634015553823</v>
      </c>
      <c r="T82" s="247">
        <f t="shared" si="55"/>
        <v>-15.248789733510282</v>
      </c>
      <c r="U82" s="247">
        <f t="shared" si="55"/>
        <v>-13.723477981367871</v>
      </c>
      <c r="V82" s="247">
        <f t="shared" si="55"/>
        <v>-12.350740694601617</v>
      </c>
      <c r="W82" s="247">
        <f t="shared" si="55"/>
        <v>-11.115316096429085</v>
      </c>
      <c r="X82" s="247">
        <f t="shared" si="55"/>
        <v>-10.003469020893464</v>
      </c>
      <c r="Y82" s="280">
        <f t="shared" si="55"/>
        <v>-90.002838208454065</v>
      </c>
    </row>
    <row r="83" spans="1:25">
      <c r="A83" s="219"/>
      <c r="B83" s="220" t="s">
        <v>176</v>
      </c>
      <c r="C83" s="220"/>
      <c r="D83" s="220"/>
      <c r="E83" s="221"/>
      <c r="F83" s="243">
        <f>-F79</f>
        <v>-20</v>
      </c>
      <c r="G83" s="243">
        <f t="shared" ref="G83:Y83" si="56">-G79</f>
        <v>-19.400000000000002</v>
      </c>
      <c r="H83" s="243">
        <f t="shared" si="56"/>
        <v>-18.766947368421054</v>
      </c>
      <c r="I83" s="243">
        <f t="shared" si="56"/>
        <v>-18.099678128654968</v>
      </c>
      <c r="J83" s="243">
        <f t="shared" si="56"/>
        <v>-17.39698474248366</v>
      </c>
      <c r="K83" s="243">
        <f t="shared" si="56"/>
        <v>-16.657612890928107</v>
      </c>
      <c r="L83" s="243">
        <f t="shared" si="56"/>
        <v>-15.880257622684795</v>
      </c>
      <c r="M83" s="243">
        <f t="shared" si="56"/>
        <v>-15.063558659232433</v>
      </c>
      <c r="N83" s="243">
        <f t="shared" si="56"/>
        <v>-14.206094550937662</v>
      </c>
      <c r="O83" s="243">
        <f t="shared" si="56"/>
        <v>-13.306375229378277</v>
      </c>
      <c r="P83" s="243">
        <f t="shared" si="56"/>
        <v>-12.362832258567819</v>
      </c>
      <c r="Q83" s="243">
        <f t="shared" si="56"/>
        <v>-11.373805677882393</v>
      </c>
      <c r="R83" s="243">
        <f t="shared" si="56"/>
        <v>-10.337525605008663</v>
      </c>
      <c r="S83" s="243">
        <f t="shared" si="56"/>
        <v>-9.2520854164827533</v>
      </c>
      <c r="T83" s="243">
        <f t="shared" si="56"/>
        <v>-8.115400636743443</v>
      </c>
      <c r="U83" s="243">
        <f t="shared" si="56"/>
        <v>-6.9251418766877384</v>
      </c>
      <c r="V83" s="243">
        <f t="shared" si="56"/>
        <v>-5.6786163388839466</v>
      </c>
      <c r="W83" s="243">
        <f t="shared" si="56"/>
        <v>-4.3725345809406386</v>
      </c>
      <c r="X83" s="243">
        <f t="shared" si="56"/>
        <v>-3.002473745579239</v>
      </c>
      <c r="Y83" s="277">
        <f t="shared" si="56"/>
        <v>0</v>
      </c>
    </row>
    <row r="84" spans="1:25">
      <c r="A84" s="219"/>
      <c r="B84" s="220" t="s">
        <v>77</v>
      </c>
      <c r="C84" s="220"/>
      <c r="D84" s="220"/>
      <c r="E84" s="221"/>
      <c r="F84" s="243">
        <f t="shared" ref="F84:Y84" si="57">F59</f>
        <v>-30.800000000000004</v>
      </c>
      <c r="G84" s="243">
        <f t="shared" si="57"/>
        <v>-29.588370160414385</v>
      </c>
      <c r="H84" s="243">
        <f t="shared" si="57"/>
        <v>-28.383365240745356</v>
      </c>
      <c r="I84" s="243">
        <f t="shared" si="57"/>
        <v>-27.177438487105952</v>
      </c>
      <c r="J84" s="243">
        <f t="shared" si="57"/>
        <v>-25.963551647032904</v>
      </c>
      <c r="K84" s="243">
        <f t="shared" si="57"/>
        <v>-24.735112437027901</v>
      </c>
      <c r="L84" s="243">
        <f t="shared" si="57"/>
        <v>-23.485916795314267</v>
      </c>
      <c r="M84" s="243">
        <f t="shared" si="57"/>
        <v>-22.21009501891999</v>
      </c>
      <c r="N84" s="243">
        <f t="shared" si="57"/>
        <v>-20.902060795900784</v>
      </c>
      <c r="O84" s="243">
        <f t="shared" si="57"/>
        <v>-19.5564619657473</v>
      </c>
      <c r="P84" s="243">
        <f t="shared" si="57"/>
        <v>-18.168131514189344</v>
      </c>
      <c r="Q84" s="243">
        <f t="shared" si="57"/>
        <v>-16.732036719394507</v>
      </c>
      <c r="R84" s="243">
        <f t="shared" si="57"/>
        <v>-15.243223288658498</v>
      </c>
      <c r="S84" s="243">
        <f t="shared" si="57"/>
        <v>-13.696749278551762</v>
      </c>
      <c r="T84" s="243">
        <f t="shared" si="57"/>
        <v>-12.087599484669754</v>
      </c>
      <c r="U84" s="243">
        <f t="shared" si="57"/>
        <v>-10.410562098188844</v>
      </c>
      <c r="V84" s="243">
        <f t="shared" si="57"/>
        <v>-8.6600281625263538</v>
      </c>
      <c r="W84" s="243">
        <f t="shared" si="57"/>
        <v>-6.8296161342100836</v>
      </c>
      <c r="X84" s="243">
        <f t="shared" si="57"/>
        <v>-4.9113306284045883</v>
      </c>
      <c r="Y84" s="277">
        <f t="shared" si="57"/>
        <v>-2.8930987855028967</v>
      </c>
    </row>
    <row r="85" spans="1:25">
      <c r="A85" s="219"/>
      <c r="B85" s="244" t="s">
        <v>78</v>
      </c>
      <c r="C85" s="220"/>
      <c r="D85" s="220"/>
      <c r="E85" s="221"/>
      <c r="F85" s="246">
        <f>SUM(F80:F84)</f>
        <v>31.270017417110729</v>
      </c>
      <c r="G85" s="246">
        <f t="shared" ref="G85:Y85" si="58">SUM(G80:G84)</f>
        <v>40.762674057106537</v>
      </c>
      <c r="H85" s="246">
        <f t="shared" si="58"/>
        <v>49.193667664903437</v>
      </c>
      <c r="I85" s="246">
        <f t="shared" si="58"/>
        <v>56.661927853987557</v>
      </c>
      <c r="J85" s="246">
        <f t="shared" si="58"/>
        <v>63.256356871800264</v>
      </c>
      <c r="K85" s="246">
        <f t="shared" si="58"/>
        <v>69.056867751998112</v>
      </c>
      <c r="L85" s="246">
        <f t="shared" si="58"/>
        <v>74.135333738325073</v>
      </c>
      <c r="M85" s="246">
        <f t="shared" si="58"/>
        <v>78.556464773550346</v>
      </c>
      <c r="N85" s="246">
        <f t="shared" si="58"/>
        <v>82.378629223782482</v>
      </c>
      <c r="O85" s="246">
        <f t="shared" si="58"/>
        <v>85.654643975800568</v>
      </c>
      <c r="P85" s="246">
        <f t="shared" si="58"/>
        <v>88.432565852682131</v>
      </c>
      <c r="Q85" s="246">
        <f t="shared" si="58"/>
        <v>90.756536720073399</v>
      </c>
      <c r="R85" s="246">
        <f t="shared" si="58"/>
        <v>92.667774506328982</v>
      </c>
      <c r="S85" s="246">
        <f t="shared" si="58"/>
        <v>94.205888981989276</v>
      </c>
      <c r="T85" s="246">
        <f t="shared" si="58"/>
        <v>95.410905069375957</v>
      </c>
      <c r="U85" s="246">
        <f t="shared" si="58"/>
        <v>96.32691007739966</v>
      </c>
      <c r="V85" s="246">
        <f t="shared" si="58"/>
        <v>97.009850784743335</v>
      </c>
      <c r="W85" s="246">
        <f t="shared" si="58"/>
        <v>97.54793771064405</v>
      </c>
      <c r="X85" s="246">
        <f t="shared" si="58"/>
        <v>98.132919582930924</v>
      </c>
      <c r="Y85" s="279">
        <f t="shared" si="58"/>
        <v>-10.841432005890749</v>
      </c>
    </row>
    <row r="86" spans="1:25">
      <c r="A86" s="219"/>
      <c r="B86" s="220" t="s">
        <v>177</v>
      </c>
      <c r="C86" s="220"/>
      <c r="D86" s="220"/>
      <c r="E86" s="221"/>
      <c r="F86" s="247">
        <f t="shared" ref="F86:Y86" si="59">F85*Tax</f>
        <v>8.7556048767910042</v>
      </c>
      <c r="G86" s="247">
        <f t="shared" si="59"/>
        <v>11.413548735989831</v>
      </c>
      <c r="H86" s="247">
        <f t="shared" si="59"/>
        <v>13.774226946172963</v>
      </c>
      <c r="I86" s="247">
        <f t="shared" si="59"/>
        <v>15.865339799116517</v>
      </c>
      <c r="J86" s="247">
        <f t="shared" si="59"/>
        <v>17.711779924104075</v>
      </c>
      <c r="K86" s="247">
        <f t="shared" si="59"/>
        <v>19.335922970559473</v>
      </c>
      <c r="L86" s="247">
        <f t="shared" si="59"/>
        <v>20.757893446731021</v>
      </c>
      <c r="M86" s="247">
        <f t="shared" si="59"/>
        <v>21.995810136594098</v>
      </c>
      <c r="N86" s="247">
        <f t="shared" si="59"/>
        <v>23.066016182659098</v>
      </c>
      <c r="O86" s="247">
        <f t="shared" si="59"/>
        <v>23.983300313224163</v>
      </c>
      <c r="P86" s="247">
        <f t="shared" si="59"/>
        <v>24.761118438750998</v>
      </c>
      <c r="Q86" s="247">
        <f t="shared" si="59"/>
        <v>25.411830281620553</v>
      </c>
      <c r="R86" s="247">
        <f t="shared" si="59"/>
        <v>25.946976861772118</v>
      </c>
      <c r="S86" s="247">
        <f t="shared" si="59"/>
        <v>26.377648914957</v>
      </c>
      <c r="T86" s="247">
        <f t="shared" si="59"/>
        <v>26.715053419425271</v>
      </c>
      <c r="U86" s="247">
        <f t="shared" si="59"/>
        <v>26.971534821671906</v>
      </c>
      <c r="V86" s="247">
        <f t="shared" si="59"/>
        <v>27.162758219728136</v>
      </c>
      <c r="W86" s="247">
        <f t="shared" si="59"/>
        <v>27.313422558980335</v>
      </c>
      <c r="X86" s="247">
        <f t="shared" si="59"/>
        <v>27.477217483220663</v>
      </c>
      <c r="Y86" s="280">
        <f t="shared" si="59"/>
        <v>-3.03560096164941</v>
      </c>
    </row>
    <row r="87" spans="1:25">
      <c r="A87" s="219"/>
      <c r="B87" s="220"/>
      <c r="C87" s="220"/>
      <c r="D87" s="220"/>
      <c r="E87" s="221"/>
      <c r="F87" s="247"/>
      <c r="G87" s="247"/>
      <c r="H87" s="247"/>
      <c r="I87" s="247"/>
      <c r="J87" s="247"/>
      <c r="K87" s="247"/>
      <c r="L87" s="247"/>
      <c r="M87" s="247"/>
      <c r="N87" s="247"/>
      <c r="O87" s="247"/>
      <c r="P87" s="247"/>
      <c r="Q87" s="247"/>
      <c r="R87" s="247"/>
      <c r="S87" s="247"/>
      <c r="T87" s="247"/>
      <c r="U87" s="247"/>
      <c r="V87" s="247"/>
      <c r="W87" s="247"/>
      <c r="X87" s="247"/>
      <c r="Y87" s="280"/>
    </row>
    <row r="88" spans="1:25">
      <c r="A88" s="219"/>
      <c r="B88" s="244" t="s">
        <v>232</v>
      </c>
      <c r="C88" s="220"/>
      <c r="D88" s="220"/>
      <c r="E88" s="221"/>
      <c r="F88" s="247">
        <f t="shared" ref="F88:Y88" si="60">F77-F86</f>
        <v>120</v>
      </c>
      <c r="G88" s="247">
        <f t="shared" si="60"/>
        <v>118.95263157894736</v>
      </c>
      <c r="H88" s="247">
        <f t="shared" si="60"/>
        <v>117.8147251461988</v>
      </c>
      <c r="I88" s="247">
        <f t="shared" si="60"/>
        <v>116.58322088751287</v>
      </c>
      <c r="J88" s="247">
        <f t="shared" si="60"/>
        <v>115.25502391895422</v>
      </c>
      <c r="K88" s="247">
        <f t="shared" si="60"/>
        <v>113.82702142134204</v>
      </c>
      <c r="L88" s="247">
        <f t="shared" si="60"/>
        <v>112.29610747469961</v>
      </c>
      <c r="M88" s="247">
        <f t="shared" si="60"/>
        <v>110.65921938128442</v>
      </c>
      <c r="N88" s="247">
        <f t="shared" si="60"/>
        <v>108.91339155718873</v>
      </c>
      <c r="O88" s="247">
        <f t="shared" si="60"/>
        <v>107.05583707272524</v>
      </c>
      <c r="P88" s="247">
        <f t="shared" si="60"/>
        <v>105.08407419782645</v>
      </c>
      <c r="Q88" s="247">
        <f t="shared" si="60"/>
        <v>102.99612919415719</v>
      </c>
      <c r="R88" s="247">
        <f t="shared" si="60"/>
        <v>100.79087464883446</v>
      </c>
      <c r="S88" s="247">
        <f t="shared" si="60"/>
        <v>98.468623361137873</v>
      </c>
      <c r="T88" s="247">
        <f t="shared" si="60"/>
        <v>96.032240868130728</v>
      </c>
      <c r="U88" s="247">
        <f t="shared" si="60"/>
        <v>93.489415335284448</v>
      </c>
      <c r="V88" s="247">
        <f t="shared" si="60"/>
        <v>90.857861422143159</v>
      </c>
      <c r="W88" s="247">
        <f t="shared" si="60"/>
        <v>88.179447382302882</v>
      </c>
      <c r="X88" s="247">
        <f t="shared" si="60"/>
        <v>85.570501749008315</v>
      </c>
      <c r="Y88" s="280">
        <f t="shared" si="60"/>
        <v>85.090105949715621</v>
      </c>
    </row>
    <row r="89" spans="1:25">
      <c r="A89" s="219"/>
      <c r="B89" s="244" t="s">
        <v>96</v>
      </c>
      <c r="C89" s="220"/>
      <c r="D89" s="220"/>
      <c r="E89" s="221"/>
      <c r="F89" s="250">
        <f>IF(B5="No change",NPV(WACC,F88:Y88),"N/A")</f>
        <v>999.99999999999932</v>
      </c>
      <c r="G89" s="220"/>
      <c r="H89" s="220"/>
      <c r="I89" s="220"/>
      <c r="J89" s="220"/>
      <c r="K89" s="220"/>
      <c r="L89" s="220"/>
      <c r="M89" s="220"/>
      <c r="N89" s="220"/>
      <c r="O89" s="220"/>
      <c r="P89" s="220"/>
      <c r="Q89" s="220"/>
      <c r="R89" s="220"/>
      <c r="S89" s="220"/>
      <c r="T89" s="220"/>
      <c r="U89" s="220"/>
      <c r="V89" s="220"/>
      <c r="W89" s="220"/>
      <c r="X89" s="220"/>
      <c r="Y89" s="221"/>
    </row>
    <row r="90" spans="1:25">
      <c r="A90" s="219"/>
      <c r="B90" s="220"/>
      <c r="C90" s="220"/>
      <c r="D90" s="220"/>
      <c r="E90" s="221"/>
      <c r="F90" s="77"/>
      <c r="G90" s="220"/>
      <c r="H90" s="220"/>
      <c r="I90" s="220"/>
      <c r="J90" s="220"/>
      <c r="K90" s="220"/>
      <c r="L90" s="220"/>
      <c r="M90" s="220"/>
      <c r="N90" s="220"/>
      <c r="O90" s="220"/>
      <c r="P90" s="220"/>
      <c r="Q90" s="220"/>
      <c r="R90" s="220"/>
      <c r="S90" s="220"/>
      <c r="T90" s="220"/>
      <c r="U90" s="220"/>
      <c r="V90" s="220"/>
      <c r="W90" s="220"/>
      <c r="X90" s="220"/>
      <c r="Y90" s="221"/>
    </row>
    <row r="91" spans="1:25">
      <c r="A91" s="281"/>
      <c r="B91" s="208"/>
      <c r="C91" s="208"/>
      <c r="D91" s="208"/>
      <c r="E91" s="284"/>
      <c r="F91" s="282"/>
      <c r="G91" s="282"/>
      <c r="H91" s="282"/>
      <c r="I91" s="282"/>
      <c r="J91" s="282"/>
      <c r="K91" s="282"/>
      <c r="L91" s="282"/>
      <c r="M91" s="282"/>
      <c r="N91" s="282"/>
      <c r="O91" s="282"/>
      <c r="P91" s="282"/>
      <c r="Q91" s="282"/>
      <c r="R91" s="282"/>
      <c r="S91" s="282"/>
      <c r="T91" s="282"/>
      <c r="U91" s="282"/>
      <c r="V91" s="282"/>
      <c r="W91" s="282"/>
      <c r="X91" s="282"/>
      <c r="Y91" s="283"/>
    </row>
    <row r="100" spans="5:5">
      <c r="E100" s="147"/>
    </row>
  </sheetData>
  <sheetProtection sheet="1" objects="1" scenarios="1"/>
  <dataConsolidate/>
  <mergeCells count="11">
    <mergeCell ref="H16:Y16"/>
    <mergeCell ref="H13:Y13"/>
    <mergeCell ref="F9:Y9"/>
    <mergeCell ref="F20:Y20"/>
    <mergeCell ref="F24:Y24"/>
    <mergeCell ref="B73:E73"/>
    <mergeCell ref="F30:Y30"/>
    <mergeCell ref="F55:Y55"/>
    <mergeCell ref="B55:E55"/>
    <mergeCell ref="H28:Y28"/>
    <mergeCell ref="F47:Y47"/>
  </mergeCells>
  <dataValidations count="1">
    <dataValidation type="list" allowBlank="1" showInputMessage="1" showErrorMessage="1" sqref="B5">
      <formula1>$B$66:$B$67</formula1>
    </dataValidation>
  </dataValidations>
  <pageMargins left="0.74803149606299213" right="0.74803149606299213" top="0.98425196850393704" bottom="0.98425196850393704" header="0.51181102362204722" footer="0.51181102362204722"/>
  <pageSetup paperSize="9" scale="54" orientation="landscape" r:id="rId1"/>
  <headerFooter alignWithMargins="0"/>
  <ignoredErrors>
    <ignoredError sqref="V38:W38 U38" evalError="1"/>
    <ignoredError sqref="H14"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Normal="100" zoomScaleSheetLayoutView="100" workbookViewId="0"/>
  </sheetViews>
  <sheetFormatPr defaultRowHeight="15"/>
  <sheetData/>
  <sheetProtection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1"/>
  <sheetViews>
    <sheetView showGridLines="0" zoomScaleNormal="100" zoomScaleSheetLayoutView="100" workbookViewId="0">
      <selection activeCell="H3" sqref="H3"/>
    </sheetView>
  </sheetViews>
  <sheetFormatPr defaultRowHeight="15"/>
  <cols>
    <col min="1" max="1" width="27.42578125" customWidth="1"/>
    <col min="2" max="2" width="10.140625" customWidth="1"/>
    <col min="3" max="3" width="9.140625" customWidth="1"/>
    <col min="4" max="4" width="16.140625" customWidth="1"/>
    <col min="5" max="5" width="15.7109375" customWidth="1"/>
    <col min="6" max="6" width="10.85546875" customWidth="1"/>
    <col min="7" max="7" width="12.85546875" customWidth="1"/>
    <col min="8" max="8" width="16" customWidth="1"/>
    <col min="10" max="10" width="9.5703125" customWidth="1"/>
    <col min="11" max="12" width="9.140625" customWidth="1"/>
    <col min="15" max="15" width="9.140625" customWidth="1"/>
  </cols>
  <sheetData>
    <row r="1" spans="1:20">
      <c r="A1" s="78"/>
      <c r="B1" s="78"/>
      <c r="C1" s="99" t="s">
        <v>8</v>
      </c>
      <c r="D1" s="298" t="s">
        <v>2</v>
      </c>
      <c r="E1" s="298"/>
      <c r="F1" s="100" t="s">
        <v>14</v>
      </c>
      <c r="G1" s="100" t="s">
        <v>24</v>
      </c>
      <c r="H1" s="188" t="s">
        <v>16</v>
      </c>
      <c r="I1" s="298" t="s">
        <v>12</v>
      </c>
      <c r="J1" s="298"/>
      <c r="K1" s="298"/>
      <c r="L1" s="304"/>
      <c r="M1" s="302" t="s">
        <v>20</v>
      </c>
      <c r="N1" s="302"/>
      <c r="O1" s="302"/>
      <c r="P1" s="303"/>
    </row>
    <row r="2" spans="1:20">
      <c r="A2" s="72" t="s">
        <v>178</v>
      </c>
      <c r="B2" s="164">
        <f>'Tax calcs'!K4</f>
        <v>0.83333333333333337</v>
      </c>
      <c r="C2" s="177"/>
      <c r="D2" s="174" t="s">
        <v>0</v>
      </c>
      <c r="E2" s="174" t="s">
        <v>1</v>
      </c>
      <c r="F2" s="174" t="s">
        <v>15</v>
      </c>
      <c r="G2" s="174" t="s">
        <v>0</v>
      </c>
      <c r="H2" s="189" t="s">
        <v>17</v>
      </c>
      <c r="I2" s="176"/>
      <c r="J2" s="301" t="s">
        <v>22</v>
      </c>
      <c r="K2" s="301"/>
      <c r="L2" s="175"/>
      <c r="M2" s="33"/>
      <c r="N2" s="307" t="s">
        <v>73</v>
      </c>
      <c r="O2" s="307"/>
      <c r="P2" s="98"/>
    </row>
    <row r="3" spans="1:20">
      <c r="A3" s="165" t="s">
        <v>19</v>
      </c>
      <c r="B3" s="165"/>
      <c r="C3" s="102"/>
      <c r="D3" s="103">
        <f>'Tax calcs'!K2</f>
        <v>1200</v>
      </c>
      <c r="E3" s="103">
        <f>'Tax calcs'!K3</f>
        <v>1000</v>
      </c>
      <c r="F3" s="103"/>
      <c r="G3" s="103">
        <f>'Tax calcs'!K5</f>
        <v>800</v>
      </c>
      <c r="H3" s="104">
        <f>B2*G3</f>
        <v>666.66666666666674</v>
      </c>
      <c r="I3" s="103" t="s">
        <v>10</v>
      </c>
      <c r="J3" s="105"/>
      <c r="K3" s="105">
        <v>0</v>
      </c>
      <c r="L3" s="106"/>
      <c r="M3" s="36" t="s">
        <v>10</v>
      </c>
      <c r="N3" s="2"/>
      <c r="O3" s="4">
        <f>Tax*(H3-E3)</f>
        <v>-93.333333333333314</v>
      </c>
      <c r="P3" s="3"/>
    </row>
    <row r="4" spans="1:20">
      <c r="A4" s="165" t="s">
        <v>4</v>
      </c>
      <c r="B4" s="165"/>
      <c r="C4" s="102"/>
      <c r="D4" s="103">
        <f>D3/life</f>
        <v>60</v>
      </c>
      <c r="E4" s="103">
        <f>D4*B2</f>
        <v>50</v>
      </c>
      <c r="F4" s="103">
        <f>E4</f>
        <v>50</v>
      </c>
      <c r="G4" s="103">
        <f>G3*DV</f>
        <v>80.022704951616319</v>
      </c>
      <c r="H4" s="104">
        <f>B2*G4</f>
        <v>66.685587459680264</v>
      </c>
      <c r="I4" s="103" t="s">
        <v>25</v>
      </c>
      <c r="J4" s="103"/>
      <c r="K4" s="103">
        <f>(F4-H4)*Tax</f>
        <v>-4.6719644887104739</v>
      </c>
      <c r="L4" s="106"/>
      <c r="M4" s="36" t="s">
        <v>25</v>
      </c>
      <c r="N4" s="2"/>
      <c r="O4" s="1">
        <f>K4</f>
        <v>-4.6719644887104739</v>
      </c>
      <c r="P4" s="3"/>
    </row>
    <row r="5" spans="1:20">
      <c r="A5" s="165" t="s">
        <v>171</v>
      </c>
      <c r="B5" s="165"/>
      <c r="C5" s="102"/>
      <c r="D5" s="103">
        <f>reval*D3</f>
        <v>24</v>
      </c>
      <c r="E5" s="103">
        <f>B2*D5</f>
        <v>20</v>
      </c>
      <c r="F5" s="103"/>
      <c r="G5" s="103">
        <v>0</v>
      </c>
      <c r="H5" s="104">
        <v>0</v>
      </c>
      <c r="I5" s="103" t="s">
        <v>21</v>
      </c>
      <c r="J5" s="103"/>
      <c r="K5" s="107">
        <f>-'Tax calcs'!P2/life*Tax</f>
        <v>-4.6666666666666661</v>
      </c>
      <c r="L5" s="106"/>
      <c r="M5" s="36"/>
      <c r="N5" s="2"/>
      <c r="O5" s="4"/>
      <c r="P5" s="3"/>
    </row>
    <row r="6" spans="1:20">
      <c r="A6" s="165" t="s">
        <v>180</v>
      </c>
      <c r="B6" s="165"/>
      <c r="C6" s="102"/>
      <c r="D6" s="103">
        <f>D3-D4+D5</f>
        <v>1164</v>
      </c>
      <c r="E6" s="108">
        <f>E3-E4+E5</f>
        <v>970</v>
      </c>
      <c r="F6" s="108"/>
      <c r="G6" s="103">
        <f>G3-G4+G5</f>
        <v>719.97729504838367</v>
      </c>
      <c r="H6" s="104">
        <f>H3-H4+H5</f>
        <v>599.98107920698646</v>
      </c>
      <c r="I6" s="103"/>
      <c r="J6" s="103"/>
      <c r="K6" s="105"/>
      <c r="L6" s="106"/>
      <c r="M6" s="36"/>
      <c r="N6" s="2"/>
      <c r="O6" s="4"/>
      <c r="P6" s="3"/>
    </row>
    <row r="7" spans="1:20">
      <c r="A7" s="165" t="s">
        <v>181</v>
      </c>
      <c r="B7" s="165"/>
      <c r="C7" s="109"/>
      <c r="D7" s="110"/>
      <c r="E7" s="108">
        <f>IF('Tax calcs'!B5="No change",D6*'Cost allocation adjustment'!B2,D6*B9)</f>
        <v>970</v>
      </c>
      <c r="F7" s="103"/>
      <c r="G7" s="110"/>
      <c r="H7" s="104">
        <f>(E7/D6)*G6</f>
        <v>599.98107920698646</v>
      </c>
      <c r="I7" s="103"/>
      <c r="J7" s="103"/>
      <c r="K7" s="105"/>
      <c r="L7" s="106"/>
      <c r="M7" s="36"/>
      <c r="N7" s="2"/>
      <c r="O7" s="4"/>
      <c r="P7" s="3"/>
    </row>
    <row r="8" spans="1:20">
      <c r="A8" s="165" t="s">
        <v>11</v>
      </c>
      <c r="B8" s="165"/>
      <c r="C8" s="102"/>
      <c r="D8" s="110"/>
      <c r="E8" s="103">
        <f>E7-E6</f>
        <v>0</v>
      </c>
      <c r="F8" s="110"/>
      <c r="G8" s="111"/>
      <c r="H8" s="104">
        <f>H7-H6</f>
        <v>0</v>
      </c>
      <c r="I8" s="103"/>
      <c r="J8" s="103"/>
      <c r="K8" s="105"/>
      <c r="L8" s="106"/>
      <c r="M8" s="36"/>
      <c r="N8" s="2"/>
      <c r="O8" s="4"/>
      <c r="P8" s="3"/>
    </row>
    <row r="9" spans="1:20">
      <c r="A9" s="166" t="s">
        <v>182</v>
      </c>
      <c r="B9" s="194">
        <v>0.9</v>
      </c>
      <c r="C9" s="112"/>
      <c r="D9" s="110"/>
      <c r="E9" s="103"/>
      <c r="F9" s="103"/>
      <c r="G9" s="103"/>
      <c r="H9" s="190"/>
      <c r="I9" s="103"/>
      <c r="J9" s="103"/>
      <c r="K9" s="105"/>
      <c r="L9" s="106"/>
      <c r="M9" s="36"/>
      <c r="N9" s="2"/>
      <c r="O9" s="4"/>
      <c r="P9" s="3"/>
    </row>
    <row r="10" spans="1:20">
      <c r="A10" s="165"/>
      <c r="B10" s="165"/>
      <c r="C10" s="112" t="s">
        <v>6</v>
      </c>
      <c r="D10" s="110"/>
      <c r="E10" s="103">
        <f>H8-E8</f>
        <v>0</v>
      </c>
      <c r="F10" s="103"/>
      <c r="G10" s="103"/>
      <c r="H10" s="104"/>
      <c r="I10" s="103"/>
      <c r="J10" s="103"/>
      <c r="K10" s="105"/>
      <c r="L10" s="106"/>
      <c r="M10" s="36"/>
      <c r="N10" s="2"/>
      <c r="O10" s="4"/>
      <c r="P10" s="3"/>
    </row>
    <row r="11" spans="1:20">
      <c r="A11" s="165"/>
      <c r="B11" s="165"/>
      <c r="C11" s="112" t="s">
        <v>7</v>
      </c>
      <c r="D11" s="110"/>
      <c r="E11" s="103">
        <f>Tax*E10</f>
        <v>0</v>
      </c>
      <c r="F11" s="103"/>
      <c r="G11" s="103"/>
      <c r="H11" s="104"/>
      <c r="I11" s="103" t="s">
        <v>13</v>
      </c>
      <c r="J11" s="103"/>
      <c r="K11" s="107">
        <f>E11</f>
        <v>0</v>
      </c>
      <c r="L11" s="106"/>
      <c r="M11" s="36" t="s">
        <v>13</v>
      </c>
      <c r="N11" s="2"/>
      <c r="O11" s="4">
        <f>E11</f>
        <v>0</v>
      </c>
      <c r="P11" s="3"/>
    </row>
    <row r="12" spans="1:20" ht="18.75">
      <c r="A12" s="167"/>
      <c r="B12" s="168"/>
      <c r="C12" s="113"/>
      <c r="D12" s="114"/>
      <c r="E12" s="114"/>
      <c r="F12" s="114"/>
      <c r="G12" s="114"/>
      <c r="H12" s="115"/>
      <c r="I12" s="103" t="s">
        <v>5</v>
      </c>
      <c r="J12" s="103"/>
      <c r="K12" s="116">
        <f>SUM(K3:K11)</f>
        <v>-9.3386311553771399</v>
      </c>
      <c r="L12" s="106"/>
      <c r="M12" s="36" t="s">
        <v>5</v>
      </c>
      <c r="N12" s="2"/>
      <c r="O12" s="63">
        <f>SUM(O3:O11)</f>
        <v>-98.005297822043786</v>
      </c>
      <c r="P12" s="3"/>
    </row>
    <row r="13" spans="1:20">
      <c r="A13" s="78"/>
      <c r="B13" s="73"/>
      <c r="C13" s="101" t="s">
        <v>9</v>
      </c>
      <c r="D13" s="299" t="s">
        <v>2</v>
      </c>
      <c r="E13" s="299"/>
      <c r="F13" s="79" t="s">
        <v>14</v>
      </c>
      <c r="G13" s="79" t="s">
        <v>3</v>
      </c>
      <c r="H13" s="191" t="s">
        <v>16</v>
      </c>
      <c r="I13" s="299" t="s">
        <v>12</v>
      </c>
      <c r="J13" s="299"/>
      <c r="K13" s="305"/>
      <c r="L13" s="306"/>
      <c r="M13" s="302" t="s">
        <v>20</v>
      </c>
      <c r="N13" s="302"/>
      <c r="O13" s="302"/>
      <c r="P13" s="303"/>
      <c r="R13" s="1"/>
    </row>
    <row r="14" spans="1:20">
      <c r="A14" s="72" t="s">
        <v>178</v>
      </c>
      <c r="B14" s="164">
        <f>IF('Tax calcs'!B5="No change",'Cost allocation adjustment'!B2,B9)</f>
        <v>0.83333333333333337</v>
      </c>
      <c r="C14" s="172"/>
      <c r="D14" s="173" t="s">
        <v>0</v>
      </c>
      <c r="E14" s="173" t="s">
        <v>1</v>
      </c>
      <c r="F14" s="174" t="s">
        <v>15</v>
      </c>
      <c r="G14" s="173" t="s">
        <v>18</v>
      </c>
      <c r="H14" s="192" t="s">
        <v>17</v>
      </c>
      <c r="I14" s="176"/>
      <c r="J14" s="301" t="s">
        <v>22</v>
      </c>
      <c r="K14" s="301"/>
      <c r="L14" s="175"/>
      <c r="M14" s="307" t="s">
        <v>73</v>
      </c>
      <c r="N14" s="307"/>
      <c r="O14" s="307"/>
      <c r="P14" s="308"/>
    </row>
    <row r="15" spans="1:20">
      <c r="A15" s="165" t="s">
        <v>19</v>
      </c>
      <c r="B15" s="73"/>
      <c r="C15" s="117"/>
      <c r="D15" s="103">
        <f>D6</f>
        <v>1164</v>
      </c>
      <c r="E15" s="103">
        <f>E7</f>
        <v>970</v>
      </c>
      <c r="F15" s="103"/>
      <c r="G15" s="103">
        <f>G6</f>
        <v>719.97729504838367</v>
      </c>
      <c r="H15" s="104">
        <f>H7</f>
        <v>599.98107920698646</v>
      </c>
      <c r="I15" s="103" t="s">
        <v>10</v>
      </c>
      <c r="J15" s="105"/>
      <c r="K15" s="107">
        <f>K12</f>
        <v>-9.3386311553771399</v>
      </c>
      <c r="L15" s="106"/>
      <c r="M15" s="36" t="s">
        <v>10</v>
      </c>
      <c r="N15" s="2"/>
      <c r="O15" s="4">
        <f>Tax*(H15-E15+E5)</f>
        <v>-98.005297822043801</v>
      </c>
      <c r="P15" s="3"/>
      <c r="R15" s="1"/>
      <c r="S15" s="1"/>
      <c r="T15" s="1"/>
    </row>
    <row r="16" spans="1:20">
      <c r="A16" s="78" t="s">
        <v>4</v>
      </c>
      <c r="B16" s="73"/>
      <c r="C16" s="117"/>
      <c r="D16" s="103">
        <f>(D15/(life-1))</f>
        <v>61.263157894736842</v>
      </c>
      <c r="E16" s="103">
        <f>E15/D15*D16</f>
        <v>51.05263157894737</v>
      </c>
      <c r="F16" s="107">
        <f>E16-(E5/(life-1))</f>
        <v>50</v>
      </c>
      <c r="G16" s="103">
        <f>G6*DV</f>
        <v>72.018163316899518</v>
      </c>
      <c r="H16" s="104">
        <f>H15/G15*G16</f>
        <v>60.015136097416274</v>
      </c>
      <c r="I16" s="103" t="s">
        <v>25</v>
      </c>
      <c r="J16" s="103"/>
      <c r="K16" s="103">
        <f>(F16-H16)*Tax</f>
        <v>-2.8042381072765572</v>
      </c>
      <c r="L16" s="106"/>
      <c r="M16" s="36" t="s">
        <v>25</v>
      </c>
      <c r="N16" s="2"/>
      <c r="O16" s="1">
        <f>K16</f>
        <v>-2.8042381072765572</v>
      </c>
      <c r="P16" s="3"/>
    </row>
    <row r="17" spans="1:18">
      <c r="A17" s="78" t="s">
        <v>171</v>
      </c>
      <c r="B17" s="73"/>
      <c r="C17" s="117"/>
      <c r="D17" s="103">
        <f>reval*D15</f>
        <v>23.28</v>
      </c>
      <c r="E17" s="103">
        <f>E15/D15*D17</f>
        <v>19.400000000000002</v>
      </c>
      <c r="F17" s="103"/>
      <c r="G17" s="103">
        <v>0</v>
      </c>
      <c r="H17" s="104">
        <f>C15*G17</f>
        <v>0</v>
      </c>
      <c r="I17" s="103" t="s">
        <v>21</v>
      </c>
      <c r="J17" s="103"/>
      <c r="K17" s="107">
        <f>K5</f>
        <v>-4.6666666666666661</v>
      </c>
      <c r="L17" s="106"/>
      <c r="M17" s="36"/>
      <c r="N17" s="2"/>
      <c r="O17" s="4"/>
      <c r="P17" s="3"/>
    </row>
    <row r="18" spans="1:18">
      <c r="A18" s="165" t="s">
        <v>180</v>
      </c>
      <c r="B18" s="78"/>
      <c r="C18" s="117"/>
      <c r="D18" s="103">
        <f>D15-D16+D17</f>
        <v>1126.0168421052631</v>
      </c>
      <c r="E18" s="103">
        <f>E15-E16+E17</f>
        <v>938.34736842105258</v>
      </c>
      <c r="F18" s="103"/>
      <c r="G18" s="103">
        <f>G15-G16+G17</f>
        <v>647.95913173148415</v>
      </c>
      <c r="H18" s="104">
        <f>H15-H16+H17</f>
        <v>539.96594310957016</v>
      </c>
      <c r="I18" s="103"/>
      <c r="J18" s="103"/>
      <c r="K18" s="105"/>
      <c r="L18" s="106"/>
      <c r="M18" s="36"/>
      <c r="N18" s="2"/>
      <c r="O18" s="4"/>
      <c r="P18" s="3"/>
    </row>
    <row r="19" spans="1:18">
      <c r="A19" s="165" t="s">
        <v>181</v>
      </c>
      <c r="B19" s="73"/>
      <c r="C19" s="118"/>
      <c r="D19" s="105"/>
      <c r="E19" s="103">
        <f>IF('Tax calcs'!B5="No change",D18*'Cost allocation adjustment'!B2,D18*B21)</f>
        <v>938.34736842105258</v>
      </c>
      <c r="F19" s="103"/>
      <c r="G19" s="105"/>
      <c r="H19" s="104">
        <f>(E19/D18)*G18</f>
        <v>539.96594310957016</v>
      </c>
      <c r="I19" s="103"/>
      <c r="J19" s="103"/>
      <c r="K19" s="105"/>
      <c r="L19" s="106"/>
      <c r="M19" s="36"/>
      <c r="N19" s="2"/>
      <c r="O19" s="4"/>
      <c r="P19" s="3"/>
    </row>
    <row r="20" spans="1:18">
      <c r="A20" s="78" t="s">
        <v>11</v>
      </c>
      <c r="B20" s="78"/>
      <c r="C20" s="117"/>
      <c r="D20" s="105"/>
      <c r="E20" s="103">
        <f>E19-E18</f>
        <v>0</v>
      </c>
      <c r="F20" s="103"/>
      <c r="G20" s="105"/>
      <c r="H20" s="104">
        <f>H19-H18</f>
        <v>0</v>
      </c>
      <c r="I20" s="103"/>
      <c r="J20" s="103"/>
      <c r="K20" s="105"/>
      <c r="L20" s="106"/>
      <c r="M20" s="36"/>
      <c r="N20" s="2"/>
      <c r="O20" s="4"/>
      <c r="P20" s="3"/>
    </row>
    <row r="21" spans="1:18">
      <c r="A21" s="166" t="s">
        <v>182</v>
      </c>
      <c r="B21" s="195">
        <v>0.85</v>
      </c>
      <c r="C21" s="112"/>
      <c r="D21" s="105"/>
      <c r="E21" s="103"/>
      <c r="F21" s="103"/>
      <c r="G21" s="105"/>
      <c r="H21" s="106"/>
      <c r="I21" s="105"/>
      <c r="J21" s="105"/>
      <c r="K21" s="105"/>
      <c r="L21" s="106"/>
      <c r="M21" s="33"/>
      <c r="N21" s="2"/>
      <c r="O21" s="2"/>
      <c r="P21" s="3"/>
    </row>
    <row r="22" spans="1:18">
      <c r="A22" s="78"/>
      <c r="B22" s="78"/>
      <c r="C22" s="112" t="s">
        <v>6</v>
      </c>
      <c r="D22" s="110"/>
      <c r="E22" s="103">
        <f>H20-E20</f>
        <v>0</v>
      </c>
      <c r="F22" s="103"/>
      <c r="G22" s="105"/>
      <c r="H22" s="106"/>
      <c r="I22" s="105"/>
      <c r="J22" s="105"/>
      <c r="K22" s="105"/>
      <c r="L22" s="106"/>
      <c r="M22" s="33"/>
      <c r="N22" s="2"/>
      <c r="O22" s="2"/>
      <c r="P22" s="3"/>
    </row>
    <row r="23" spans="1:18">
      <c r="A23" s="78"/>
      <c r="B23" s="78"/>
      <c r="C23" s="112" t="s">
        <v>7</v>
      </c>
      <c r="D23" s="110"/>
      <c r="E23" s="103">
        <f>Tax*E22</f>
        <v>0</v>
      </c>
      <c r="F23" s="103"/>
      <c r="G23" s="103"/>
      <c r="H23" s="106"/>
      <c r="I23" s="103" t="s">
        <v>13</v>
      </c>
      <c r="J23" s="103"/>
      <c r="K23" s="107">
        <f>E23</f>
        <v>0</v>
      </c>
      <c r="L23" s="106"/>
      <c r="M23" s="36" t="s">
        <v>13</v>
      </c>
      <c r="N23" s="2"/>
      <c r="O23" s="4">
        <f>E23</f>
        <v>0</v>
      </c>
      <c r="P23" s="3"/>
    </row>
    <row r="24" spans="1:18">
      <c r="A24" s="78"/>
      <c r="B24" s="169"/>
      <c r="C24" s="117"/>
      <c r="D24" s="105"/>
      <c r="E24" s="105"/>
      <c r="F24" s="105"/>
      <c r="G24" s="105"/>
      <c r="H24" s="106"/>
      <c r="I24" s="103" t="s">
        <v>5</v>
      </c>
      <c r="J24" s="103"/>
      <c r="K24" s="116">
        <f>SUM(K15:K23)</f>
        <v>-16.809535929320361</v>
      </c>
      <c r="L24" s="106"/>
      <c r="M24" s="36" t="s">
        <v>5</v>
      </c>
      <c r="N24" s="2"/>
      <c r="O24" s="63">
        <f>SUM(O15:O23)</f>
        <v>-100.80953592932036</v>
      </c>
      <c r="P24" s="3"/>
    </row>
    <row r="25" spans="1:18" ht="15.75" thickBot="1">
      <c r="A25" s="170"/>
      <c r="B25" s="171"/>
      <c r="C25" s="119"/>
      <c r="D25" s="300"/>
      <c r="E25" s="300"/>
      <c r="F25" s="120"/>
      <c r="G25" s="120"/>
      <c r="H25" s="193"/>
      <c r="I25" s="122"/>
      <c r="J25" s="122"/>
      <c r="K25" s="122"/>
      <c r="L25" s="121"/>
      <c r="M25" s="33"/>
      <c r="N25" s="33"/>
      <c r="O25" s="33"/>
      <c r="P25" s="34"/>
    </row>
    <row r="26" spans="1:18">
      <c r="I26" s="9" t="s">
        <v>183</v>
      </c>
      <c r="J26" s="33"/>
      <c r="K26" s="33"/>
      <c r="L26" s="33"/>
      <c r="M26" s="76"/>
      <c r="N26" s="31"/>
      <c r="O26" s="31"/>
      <c r="P26" s="32"/>
      <c r="R26" s="1"/>
    </row>
    <row r="27" spans="1:18">
      <c r="I27" s="35" t="s">
        <v>65</v>
      </c>
      <c r="J27" s="33"/>
      <c r="K27" s="33"/>
      <c r="L27" s="33"/>
      <c r="M27" s="33"/>
      <c r="N27" s="33"/>
      <c r="O27" s="36">
        <f>Tax*(H3-E3)</f>
        <v>-93.333333333333314</v>
      </c>
      <c r="P27" s="34"/>
    </row>
    <row r="28" spans="1:18">
      <c r="I28" s="70" t="s">
        <v>66</v>
      </c>
      <c r="J28" s="33"/>
      <c r="K28" s="33"/>
      <c r="L28" s="33"/>
      <c r="M28" s="33"/>
      <c r="N28" s="33"/>
      <c r="O28" s="29">
        <f>-K5</f>
        <v>4.6666666666666661</v>
      </c>
      <c r="P28" s="34"/>
    </row>
    <row r="29" spans="1:18">
      <c r="I29" s="70" t="s">
        <v>67</v>
      </c>
      <c r="J29" s="33"/>
      <c r="K29" s="33"/>
      <c r="L29" s="33"/>
      <c r="M29" s="33"/>
      <c r="N29" s="33"/>
      <c r="O29" s="40">
        <f>-K17</f>
        <v>4.6666666666666661</v>
      </c>
      <c r="P29" s="34"/>
    </row>
    <row r="30" spans="1:18">
      <c r="I30" s="35" t="s">
        <v>23</v>
      </c>
      <c r="J30" s="33"/>
      <c r="K30" s="5"/>
      <c r="L30" s="33"/>
      <c r="M30" s="33"/>
      <c r="N30" s="33"/>
      <c r="O30" s="81">
        <f>SUM(O27:O29)</f>
        <v>-83.999999999999972</v>
      </c>
      <c r="P30" s="34"/>
    </row>
    <row r="31" spans="1:18" s="30" customFormat="1">
      <c r="I31" s="35" t="s">
        <v>105</v>
      </c>
      <c r="J31" s="33"/>
      <c r="K31" s="5"/>
      <c r="L31" s="33"/>
      <c r="M31" s="33"/>
      <c r="N31" s="33"/>
      <c r="O31" s="29">
        <f>K24</f>
        <v>-16.809535929320361</v>
      </c>
      <c r="P31" s="34"/>
    </row>
    <row r="32" spans="1:18" ht="15.75" thickBot="1">
      <c r="I32" s="35" t="s">
        <v>74</v>
      </c>
      <c r="J32" s="33"/>
      <c r="K32" s="33"/>
      <c r="L32" s="29"/>
      <c r="M32" s="33"/>
      <c r="N32" s="33"/>
      <c r="O32" s="82">
        <f>SUM(O30:O31)</f>
        <v>-100.80953592932033</v>
      </c>
      <c r="P32" s="34"/>
    </row>
    <row r="33" spans="7:16" s="30" customFormat="1" ht="15.75" thickTop="1">
      <c r="I33" s="35"/>
      <c r="J33" s="33"/>
      <c r="K33" s="33"/>
      <c r="L33" s="29"/>
      <c r="M33" s="33"/>
      <c r="N33" s="33"/>
      <c r="O33" s="83"/>
      <c r="P33" s="34"/>
    </row>
    <row r="34" spans="7:16">
      <c r="I34" s="35" t="s">
        <v>63</v>
      </c>
      <c r="J34" s="33"/>
      <c r="K34" s="33"/>
      <c r="L34" s="41"/>
      <c r="M34" s="33"/>
      <c r="N34" s="33"/>
      <c r="O34" s="29">
        <f>Tax*((H18+H20)-(E18+E20))</f>
        <v>-111.54679908721509</v>
      </c>
      <c r="P34" s="34"/>
    </row>
    <row r="35" spans="7:16">
      <c r="I35" s="35" t="s">
        <v>64</v>
      </c>
      <c r="J35" s="33"/>
      <c r="K35" s="33"/>
      <c r="L35" s="41"/>
      <c r="M35" s="33"/>
      <c r="N35" s="33"/>
      <c r="O35" s="29">
        <f>Tax*(E17+E5)</f>
        <v>11.032000000000002</v>
      </c>
      <c r="P35" s="34"/>
    </row>
    <row r="36" spans="7:16">
      <c r="I36" s="35" t="s">
        <v>84</v>
      </c>
      <c r="J36" s="33"/>
      <c r="K36" s="33"/>
      <c r="L36" s="41"/>
      <c r="M36" s="33"/>
      <c r="N36" s="33"/>
      <c r="O36" s="36">
        <f>Tax*-(E5/(life-1))</f>
        <v>-0.29473684210526319</v>
      </c>
      <c r="P36" s="34"/>
    </row>
    <row r="37" spans="7:16" ht="15.75" thickBot="1">
      <c r="I37" s="35"/>
      <c r="J37" s="33"/>
      <c r="K37" s="33"/>
      <c r="L37" s="36"/>
      <c r="M37" s="33"/>
      <c r="N37" s="33"/>
      <c r="O37" s="82">
        <f>SUM(O34:O36)</f>
        <v>-100.80953592932036</v>
      </c>
      <c r="P37" s="34"/>
    </row>
    <row r="38" spans="7:16" ht="15.75" thickTop="1">
      <c r="I38" s="37"/>
      <c r="J38" s="38"/>
      <c r="K38" s="38"/>
      <c r="L38" s="38"/>
      <c r="M38" s="38"/>
      <c r="N38" s="38"/>
      <c r="O38" s="38"/>
      <c r="P38" s="39"/>
    </row>
    <row r="39" spans="7:16">
      <c r="H39" s="33"/>
      <c r="M39" s="33"/>
    </row>
    <row r="40" spans="7:16">
      <c r="H40" s="33"/>
      <c r="I40" s="33"/>
      <c r="J40" s="33"/>
      <c r="K40" s="33"/>
      <c r="L40" s="33"/>
      <c r="M40" s="33"/>
    </row>
    <row r="41" spans="7:16">
      <c r="G41" s="6">
        <f>O37-O32</f>
        <v>0</v>
      </c>
      <c r="H41" s="33"/>
      <c r="I41" s="33"/>
      <c r="J41" s="33"/>
      <c r="K41" s="33"/>
      <c r="L41" s="33"/>
      <c r="M41" s="33"/>
    </row>
  </sheetData>
  <sheetProtection sheet="1" objects="1" scenarios="1"/>
  <mergeCells count="11">
    <mergeCell ref="D1:E1"/>
    <mergeCell ref="D13:E13"/>
    <mergeCell ref="D25:E25"/>
    <mergeCell ref="J2:K2"/>
    <mergeCell ref="M1:P1"/>
    <mergeCell ref="I1:L1"/>
    <mergeCell ref="I13:L13"/>
    <mergeCell ref="J14:K14"/>
    <mergeCell ref="M13:P13"/>
    <mergeCell ref="M14:P14"/>
    <mergeCell ref="N2:O2"/>
  </mergeCells>
  <pageMargins left="0.31" right="0.25" top="0.74803149606299213" bottom="0.74803149606299213" header="0.31496062992125984" footer="0.31496062992125984"/>
  <pageSetup paperSize="9" scale="77" orientation="landscape" r:id="rId1"/>
  <ignoredErrors>
    <ignoredError sqref="E4"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showGridLines="0" view="pageLayout" zoomScaleNormal="100" zoomScaleSheetLayoutView="100" workbookViewId="0">
      <selection activeCell="L15" sqref="L15"/>
    </sheetView>
  </sheetViews>
  <sheetFormatPr defaultRowHeight="15"/>
  <cols>
    <col min="1" max="1" width="13" customWidth="1"/>
    <col min="2" max="2" width="10" style="30" customWidth="1"/>
    <col min="3" max="3" width="18.5703125" customWidth="1"/>
    <col min="4" max="8" width="15.7109375" customWidth="1"/>
    <col min="9" max="9" width="18.7109375" customWidth="1"/>
  </cols>
  <sheetData>
    <row r="1" spans="1:9" ht="15.75">
      <c r="A1" s="150" t="s">
        <v>162</v>
      </c>
      <c r="B1" s="148"/>
      <c r="C1" s="151"/>
      <c r="D1" s="309" t="s">
        <v>51</v>
      </c>
      <c r="E1" s="309"/>
      <c r="F1" s="152"/>
      <c r="G1" s="309" t="s">
        <v>88</v>
      </c>
      <c r="H1" s="309"/>
      <c r="I1" s="153"/>
    </row>
    <row r="2" spans="1:9">
      <c r="A2" s="117"/>
      <c r="B2" s="105"/>
      <c r="C2" s="105"/>
      <c r="D2" s="123" t="s">
        <v>52</v>
      </c>
      <c r="E2" s="123" t="s">
        <v>53</v>
      </c>
      <c r="F2" s="124" t="s">
        <v>6</v>
      </c>
      <c r="G2" s="123" t="s">
        <v>52</v>
      </c>
      <c r="H2" s="123" t="s">
        <v>53</v>
      </c>
      <c r="I2" s="154" t="s">
        <v>6</v>
      </c>
    </row>
    <row r="3" spans="1:9">
      <c r="A3" s="155" t="s">
        <v>55</v>
      </c>
      <c r="B3" s="125"/>
      <c r="C3" s="126" t="s">
        <v>81</v>
      </c>
      <c r="D3" s="108">
        <f>'Tax calcs'!K3</f>
        <v>1000</v>
      </c>
      <c r="E3" s="108">
        <f>'Tax calcs'!K6</f>
        <v>666.66666666666674</v>
      </c>
      <c r="F3" s="127">
        <f>D3-E3</f>
        <v>333.33333333333326</v>
      </c>
      <c r="G3" s="108">
        <f>0.1*D3</f>
        <v>100</v>
      </c>
      <c r="H3" s="128">
        <f>E3/D3*G3</f>
        <v>66.666666666666671</v>
      </c>
      <c r="I3" s="156">
        <f>G3-H3</f>
        <v>33.333333333333329</v>
      </c>
    </row>
    <row r="4" spans="1:9">
      <c r="A4" s="157" t="s">
        <v>54</v>
      </c>
      <c r="B4" s="129" t="s">
        <v>80</v>
      </c>
      <c r="C4" s="130">
        <v>1</v>
      </c>
      <c r="D4" s="108">
        <f t="shared" ref="D4:D13" si="0">IF(C4&gt;life,0,F$3/life)</f>
        <v>16.666666666666664</v>
      </c>
      <c r="E4" s="108"/>
      <c r="F4" s="127"/>
      <c r="G4" s="108">
        <f t="shared" ref="G4:G13" si="1">IF(C4&gt;life,0,I$3/life)</f>
        <v>1.6666666666666665</v>
      </c>
      <c r="H4" s="105"/>
      <c r="I4" s="106"/>
    </row>
    <row r="5" spans="1:9">
      <c r="A5" s="158"/>
      <c r="B5" s="130"/>
      <c r="C5" s="130">
        <v>2</v>
      </c>
      <c r="D5" s="108">
        <f t="shared" si="0"/>
        <v>16.666666666666664</v>
      </c>
      <c r="E5" s="108"/>
      <c r="F5" s="127"/>
      <c r="G5" s="108">
        <f t="shared" si="1"/>
        <v>1.6666666666666665</v>
      </c>
      <c r="H5" s="105"/>
      <c r="I5" s="106"/>
    </row>
    <row r="6" spans="1:9">
      <c r="A6" s="158"/>
      <c r="B6" s="130"/>
      <c r="C6" s="130">
        <v>3</v>
      </c>
      <c r="D6" s="108">
        <f t="shared" si="0"/>
        <v>16.666666666666664</v>
      </c>
      <c r="E6" s="108"/>
      <c r="F6" s="127"/>
      <c r="G6" s="108">
        <f t="shared" si="1"/>
        <v>1.6666666666666665</v>
      </c>
      <c r="H6" s="105"/>
      <c r="I6" s="106"/>
    </row>
    <row r="7" spans="1:9">
      <c r="A7" s="158"/>
      <c r="B7" s="130"/>
      <c r="C7" s="130">
        <v>4</v>
      </c>
      <c r="D7" s="108">
        <f t="shared" si="0"/>
        <v>16.666666666666664</v>
      </c>
      <c r="E7" s="108"/>
      <c r="F7" s="127"/>
      <c r="G7" s="108">
        <f t="shared" si="1"/>
        <v>1.6666666666666665</v>
      </c>
      <c r="H7" s="105"/>
      <c r="I7" s="106"/>
    </row>
    <row r="8" spans="1:9">
      <c r="A8" s="158"/>
      <c r="B8" s="130"/>
      <c r="C8" s="130">
        <v>5</v>
      </c>
      <c r="D8" s="108">
        <f t="shared" si="0"/>
        <v>16.666666666666664</v>
      </c>
      <c r="E8" s="108"/>
      <c r="F8" s="127"/>
      <c r="G8" s="108">
        <f t="shared" si="1"/>
        <v>1.6666666666666665</v>
      </c>
      <c r="H8" s="105"/>
      <c r="I8" s="106"/>
    </row>
    <row r="9" spans="1:9" s="30" customFormat="1">
      <c r="A9" s="158"/>
      <c r="B9" s="130"/>
      <c r="C9" s="130">
        <v>6</v>
      </c>
      <c r="D9" s="108">
        <f t="shared" si="0"/>
        <v>16.666666666666664</v>
      </c>
      <c r="E9" s="108"/>
      <c r="F9" s="127"/>
      <c r="G9" s="108">
        <f t="shared" si="1"/>
        <v>1.6666666666666665</v>
      </c>
      <c r="H9" s="105"/>
      <c r="I9" s="106"/>
    </row>
    <row r="10" spans="1:9" s="30" customFormat="1">
      <c r="A10" s="158"/>
      <c r="B10" s="130"/>
      <c r="C10" s="130">
        <v>7</v>
      </c>
      <c r="D10" s="108">
        <f t="shared" si="0"/>
        <v>16.666666666666664</v>
      </c>
      <c r="E10" s="108"/>
      <c r="F10" s="127"/>
      <c r="G10" s="108">
        <f t="shared" si="1"/>
        <v>1.6666666666666665</v>
      </c>
      <c r="H10" s="105"/>
      <c r="I10" s="106"/>
    </row>
    <row r="11" spans="1:9" s="30" customFormat="1">
      <c r="A11" s="158"/>
      <c r="B11" s="130"/>
      <c r="C11" s="130">
        <v>8</v>
      </c>
      <c r="D11" s="108">
        <f t="shared" si="0"/>
        <v>16.666666666666664</v>
      </c>
      <c r="E11" s="108"/>
      <c r="F11" s="127"/>
      <c r="G11" s="108">
        <f t="shared" si="1"/>
        <v>1.6666666666666665</v>
      </c>
      <c r="H11" s="105"/>
      <c r="I11" s="106"/>
    </row>
    <row r="12" spans="1:9" s="30" customFormat="1">
      <c r="A12" s="158"/>
      <c r="B12" s="130"/>
      <c r="C12" s="130">
        <v>9</v>
      </c>
      <c r="D12" s="108">
        <f t="shared" si="0"/>
        <v>16.666666666666664</v>
      </c>
      <c r="E12" s="108"/>
      <c r="F12" s="127"/>
      <c r="G12" s="108">
        <f t="shared" si="1"/>
        <v>1.6666666666666665</v>
      </c>
      <c r="H12" s="105"/>
      <c r="I12" s="106"/>
    </row>
    <row r="13" spans="1:9" s="30" customFormat="1">
      <c r="A13" s="158"/>
      <c r="B13" s="130"/>
      <c r="C13" s="130">
        <v>10</v>
      </c>
      <c r="D13" s="108">
        <f t="shared" si="0"/>
        <v>16.666666666666664</v>
      </c>
      <c r="E13" s="108"/>
      <c r="F13" s="127"/>
      <c r="G13" s="108">
        <f t="shared" si="1"/>
        <v>1.6666666666666665</v>
      </c>
      <c r="H13" s="105"/>
      <c r="I13" s="106"/>
    </row>
    <row r="14" spans="1:9" s="30" customFormat="1">
      <c r="A14" s="158"/>
      <c r="B14" s="130"/>
      <c r="C14" s="130"/>
      <c r="D14" s="132">
        <f>SUM(D4:D13)</f>
        <v>166.6666666666666</v>
      </c>
      <c r="E14" s="108"/>
      <c r="F14" s="127"/>
      <c r="G14" s="133">
        <f>SUM(G4:G13)</f>
        <v>16.666666666666664</v>
      </c>
      <c r="H14" s="105"/>
      <c r="I14" s="106"/>
    </row>
    <row r="15" spans="1:9">
      <c r="A15" s="117" t="s">
        <v>59</v>
      </c>
      <c r="B15" s="105"/>
      <c r="C15" s="105"/>
      <c r="D15" s="108"/>
      <c r="E15" s="108"/>
      <c r="F15" s="127">
        <f>-(I3-G14)</f>
        <v>-16.666666666666664</v>
      </c>
      <c r="G15" s="108"/>
      <c r="H15" s="105"/>
      <c r="I15" s="106"/>
    </row>
    <row r="16" spans="1:9">
      <c r="A16" s="159" t="s">
        <v>60</v>
      </c>
      <c r="B16" s="134"/>
      <c r="C16" s="134"/>
      <c r="D16" s="135"/>
      <c r="E16" s="135"/>
      <c r="F16" s="136">
        <f>F3-D14+F15</f>
        <v>150</v>
      </c>
      <c r="G16" s="135">
        <f>-F15</f>
        <v>16.666666666666664</v>
      </c>
      <c r="H16" s="134"/>
      <c r="I16" s="160"/>
    </row>
    <row r="17" spans="1:9">
      <c r="A17" s="161" t="s">
        <v>54</v>
      </c>
      <c r="B17" s="130" t="s">
        <v>80</v>
      </c>
      <c r="C17" s="130">
        <v>11</v>
      </c>
      <c r="D17" s="108">
        <f t="shared" ref="D17:D26" si="2">IF(C17&gt;life,0,(F$3-I$3)/life)</f>
        <v>14.999999999999996</v>
      </c>
      <c r="E17" s="125" t="s">
        <v>99</v>
      </c>
      <c r="F17" s="127"/>
      <c r="G17" s="108">
        <f t="shared" ref="G17:G26" si="3">IF(C17&gt;life,0,(I$3+I$15)/life)</f>
        <v>1.6666666666666665</v>
      </c>
      <c r="H17" s="125" t="s">
        <v>57</v>
      </c>
      <c r="I17" s="106"/>
    </row>
    <row r="18" spans="1:9">
      <c r="A18" s="117"/>
      <c r="B18" s="105"/>
      <c r="C18" s="130">
        <v>12</v>
      </c>
      <c r="D18" s="108">
        <f t="shared" si="2"/>
        <v>14.999999999999996</v>
      </c>
      <c r="E18" s="108"/>
      <c r="F18" s="127"/>
      <c r="G18" s="108">
        <f t="shared" si="3"/>
        <v>1.6666666666666665</v>
      </c>
      <c r="H18" s="137" t="s">
        <v>100</v>
      </c>
      <c r="I18" s="106"/>
    </row>
    <row r="19" spans="1:9">
      <c r="A19" s="117"/>
      <c r="B19" s="105"/>
      <c r="C19" s="130">
        <v>13</v>
      </c>
      <c r="D19" s="108">
        <f t="shared" si="2"/>
        <v>14.999999999999996</v>
      </c>
      <c r="E19" s="108"/>
      <c r="F19" s="127"/>
      <c r="G19" s="108">
        <f t="shared" si="3"/>
        <v>1.6666666666666665</v>
      </c>
      <c r="H19" s="105"/>
      <c r="I19" s="106"/>
    </row>
    <row r="20" spans="1:9">
      <c r="A20" s="117"/>
      <c r="B20" s="105"/>
      <c r="C20" s="130">
        <v>14</v>
      </c>
      <c r="D20" s="108">
        <f t="shared" si="2"/>
        <v>14.999999999999996</v>
      </c>
      <c r="E20" s="108"/>
      <c r="F20" s="127"/>
      <c r="G20" s="108">
        <f t="shared" si="3"/>
        <v>1.6666666666666665</v>
      </c>
      <c r="H20" s="105"/>
      <c r="I20" s="106"/>
    </row>
    <row r="21" spans="1:9">
      <c r="A21" s="117"/>
      <c r="B21" s="105"/>
      <c r="C21" s="130">
        <v>15</v>
      </c>
      <c r="D21" s="108">
        <f t="shared" si="2"/>
        <v>14.999999999999996</v>
      </c>
      <c r="E21" s="108"/>
      <c r="F21" s="127"/>
      <c r="G21" s="108">
        <f t="shared" si="3"/>
        <v>1.6666666666666665</v>
      </c>
      <c r="H21" s="105"/>
      <c r="I21" s="106"/>
    </row>
    <row r="22" spans="1:9" s="30" customFormat="1">
      <c r="A22" s="117"/>
      <c r="B22" s="105"/>
      <c r="C22" s="130">
        <v>16</v>
      </c>
      <c r="D22" s="108">
        <f t="shared" si="2"/>
        <v>14.999999999999996</v>
      </c>
      <c r="E22" s="108"/>
      <c r="F22" s="127"/>
      <c r="G22" s="108">
        <f t="shared" si="3"/>
        <v>1.6666666666666665</v>
      </c>
      <c r="H22" s="105"/>
      <c r="I22" s="106"/>
    </row>
    <row r="23" spans="1:9" s="30" customFormat="1">
      <c r="A23" s="117"/>
      <c r="B23" s="105"/>
      <c r="C23" s="130">
        <v>17</v>
      </c>
      <c r="D23" s="108">
        <f t="shared" si="2"/>
        <v>14.999999999999996</v>
      </c>
      <c r="E23" s="108"/>
      <c r="F23" s="127"/>
      <c r="G23" s="108">
        <f t="shared" si="3"/>
        <v>1.6666666666666665</v>
      </c>
      <c r="H23" s="105"/>
      <c r="I23" s="106"/>
    </row>
    <row r="24" spans="1:9" s="30" customFormat="1">
      <c r="A24" s="117"/>
      <c r="B24" s="105"/>
      <c r="C24" s="130">
        <v>18</v>
      </c>
      <c r="D24" s="108">
        <f t="shared" si="2"/>
        <v>14.999999999999996</v>
      </c>
      <c r="E24" s="108"/>
      <c r="F24" s="127"/>
      <c r="G24" s="108">
        <f t="shared" si="3"/>
        <v>1.6666666666666665</v>
      </c>
      <c r="H24" s="105"/>
      <c r="I24" s="106"/>
    </row>
    <row r="25" spans="1:9" s="30" customFormat="1">
      <c r="A25" s="117"/>
      <c r="B25" s="105"/>
      <c r="C25" s="130">
        <v>19</v>
      </c>
      <c r="D25" s="108">
        <f t="shared" si="2"/>
        <v>14.999999999999996</v>
      </c>
      <c r="E25" s="108"/>
      <c r="F25" s="127"/>
      <c r="G25" s="108">
        <f t="shared" si="3"/>
        <v>1.6666666666666665</v>
      </c>
      <c r="H25" s="105"/>
      <c r="I25" s="106"/>
    </row>
    <row r="26" spans="1:9" s="30" customFormat="1">
      <c r="A26" s="117"/>
      <c r="B26" s="105"/>
      <c r="C26" s="130">
        <v>20</v>
      </c>
      <c r="D26" s="108">
        <f t="shared" si="2"/>
        <v>14.999999999999996</v>
      </c>
      <c r="E26" s="108"/>
      <c r="F26" s="127"/>
      <c r="G26" s="108">
        <f t="shared" si="3"/>
        <v>1.6666666666666665</v>
      </c>
      <c r="H26" s="105"/>
      <c r="I26" s="106"/>
    </row>
    <row r="27" spans="1:9">
      <c r="A27" s="117" t="s">
        <v>101</v>
      </c>
      <c r="B27" s="105"/>
      <c r="C27" s="105"/>
      <c r="D27" s="132">
        <f>D14+SUM(D17:D26)</f>
        <v>316.66666666666657</v>
      </c>
      <c r="E27" s="108"/>
      <c r="F27" s="127"/>
      <c r="G27" s="138">
        <f>SUM(G17:G26)</f>
        <v>16.666666666666664</v>
      </c>
      <c r="H27" s="105"/>
      <c r="I27" s="106"/>
    </row>
    <row r="28" spans="1:9">
      <c r="A28" s="117" t="s">
        <v>56</v>
      </c>
      <c r="B28" s="105"/>
      <c r="C28" s="105"/>
      <c r="D28" s="108">
        <f>D27+G27</f>
        <v>333.33333333333326</v>
      </c>
      <c r="E28" s="108"/>
      <c r="F28" s="127"/>
      <c r="G28" s="108"/>
      <c r="H28" s="105"/>
      <c r="I28" s="106"/>
    </row>
    <row r="29" spans="1:9">
      <c r="A29" s="155" t="s">
        <v>58</v>
      </c>
      <c r="B29" s="125"/>
      <c r="C29" s="105"/>
      <c r="D29" s="111">
        <f>D28-F3</f>
        <v>0</v>
      </c>
      <c r="E29" s="105"/>
      <c r="F29" s="131"/>
      <c r="G29" s="105"/>
      <c r="H29" s="105"/>
      <c r="I29" s="106"/>
    </row>
    <row r="30" spans="1:9" ht="15.75" thickBot="1">
      <c r="A30" s="162"/>
      <c r="B30" s="122"/>
      <c r="C30" s="122"/>
      <c r="D30" s="122"/>
      <c r="E30" s="122"/>
      <c r="F30" s="163"/>
      <c r="G30" s="122"/>
      <c r="H30" s="122"/>
      <c r="I30" s="121"/>
    </row>
  </sheetData>
  <sheetProtection sheet="1" objects="1" scenarios="1"/>
  <mergeCells count="2">
    <mergeCell ref="D1:E1"/>
    <mergeCell ref="G1:H1"/>
  </mergeCells>
  <pageMargins left="0.31496062992125984" right="0.35433070866141736" top="0.31496062992125984" bottom="0.74803149606299213" header="0.31496062992125984" footer="0.31496062992125984"/>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showGridLines="0" view="pageLayout" zoomScaleNormal="100" zoomScaleSheetLayoutView="100" workbookViewId="0">
      <selection activeCell="C14" sqref="C14"/>
    </sheetView>
  </sheetViews>
  <sheetFormatPr defaultRowHeight="15"/>
  <cols>
    <col min="1" max="1" width="15.7109375" style="30" customWidth="1"/>
    <col min="2" max="2" width="32.85546875" style="30" customWidth="1"/>
    <col min="3" max="7" width="15.7109375" style="30" customWidth="1"/>
    <col min="8" max="8" width="14.5703125" style="30" customWidth="1"/>
    <col min="9" max="16384" width="9.140625" style="30"/>
  </cols>
  <sheetData>
    <row r="1" spans="1:8" ht="15.75">
      <c r="A1" s="74" t="s">
        <v>161</v>
      </c>
      <c r="B1" s="73"/>
      <c r="C1" s="310" t="s">
        <v>51</v>
      </c>
      <c r="D1" s="311"/>
      <c r="E1" s="67"/>
      <c r="F1" s="311" t="s">
        <v>165</v>
      </c>
      <c r="G1" s="311"/>
      <c r="H1" s="68"/>
    </row>
    <row r="2" spans="1:8">
      <c r="A2" s="33"/>
      <c r="B2" s="33"/>
      <c r="C2" s="69"/>
      <c r="D2" s="61"/>
      <c r="E2" s="178" t="s">
        <v>86</v>
      </c>
      <c r="F2" s="61"/>
      <c r="G2" s="61"/>
      <c r="H2" s="178" t="s">
        <v>86</v>
      </c>
    </row>
    <row r="3" spans="1:8">
      <c r="A3" s="33"/>
      <c r="B3" s="33"/>
      <c r="C3" s="139" t="s">
        <v>52</v>
      </c>
      <c r="D3" s="123" t="s">
        <v>53</v>
      </c>
      <c r="E3" s="179" t="s">
        <v>85</v>
      </c>
      <c r="F3" s="123" t="s">
        <v>52</v>
      </c>
      <c r="G3" s="123" t="s">
        <v>53</v>
      </c>
      <c r="H3" s="179" t="s">
        <v>85</v>
      </c>
    </row>
    <row r="4" spans="1:8">
      <c r="A4" s="97" t="s">
        <v>81</v>
      </c>
      <c r="C4" s="140">
        <f>'Tax calcs'!K3</f>
        <v>1000</v>
      </c>
      <c r="D4" s="108">
        <f>'Tax calcs'!K6</f>
        <v>666.66666666666674</v>
      </c>
      <c r="E4" s="180" t="s">
        <v>163</v>
      </c>
      <c r="F4" s="108">
        <f>'Amortisation of sold asset'!G3</f>
        <v>100</v>
      </c>
      <c r="G4" s="108">
        <f>D4/C4*F4</f>
        <v>66.666666666666671</v>
      </c>
      <c r="H4" s="179" t="s">
        <v>164</v>
      </c>
    </row>
    <row r="5" spans="1:8">
      <c r="A5" s="43" t="s">
        <v>160</v>
      </c>
      <c r="B5" s="8"/>
      <c r="C5" s="141">
        <f>'Tax calcs'!O14</f>
        <v>618.14161292839094</v>
      </c>
      <c r="D5" s="108">
        <f>'Tax calcs'!O17</f>
        <v>232.37900077244512</v>
      </c>
      <c r="E5" s="181">
        <f>'Tax calcs'!O29</f>
        <v>-28.267213117048691</v>
      </c>
      <c r="F5" s="108">
        <f>F4/C4*C5</f>
        <v>61.814161292839096</v>
      </c>
      <c r="G5" s="107">
        <f>D5/C5*F5</f>
        <v>23.237900077244515</v>
      </c>
      <c r="H5" s="181">
        <f>F$5/C$5*E5</f>
        <v>-2.8267213117048691</v>
      </c>
    </row>
    <row r="6" spans="1:8">
      <c r="C6" s="142"/>
      <c r="D6" s="143"/>
      <c r="E6" s="182"/>
      <c r="F6" s="128"/>
      <c r="G6" s="105"/>
      <c r="H6" s="182"/>
    </row>
    <row r="7" spans="1:8">
      <c r="A7" s="7" t="s">
        <v>166</v>
      </c>
      <c r="B7" s="7" t="s">
        <v>89</v>
      </c>
      <c r="C7" s="142"/>
      <c r="D7" s="105"/>
      <c r="E7" s="183">
        <f>SUM('Tax calcs'!F26:O26)</f>
        <v>18.399453549617959</v>
      </c>
      <c r="F7" s="128"/>
      <c r="G7" s="105"/>
      <c r="H7" s="185">
        <f t="shared" ref="H7:H9" si="0">F$5/C$5*E7</f>
        <v>1.8399453549617961</v>
      </c>
    </row>
    <row r="8" spans="1:8">
      <c r="A8" s="8"/>
      <c r="B8" s="7" t="s">
        <v>90</v>
      </c>
      <c r="C8" s="142"/>
      <c r="D8" s="105"/>
      <c r="E8" s="183">
        <f>-SUM('Tax calcs'!F41:O41)*Tax</f>
        <v>-46.666666666666643</v>
      </c>
      <c r="F8" s="128"/>
      <c r="G8" s="105"/>
      <c r="H8" s="185">
        <f t="shared" si="0"/>
        <v>-4.6666666666666643</v>
      </c>
    </row>
    <row r="9" spans="1:8">
      <c r="A9" s="8"/>
      <c r="B9" s="7" t="s">
        <v>104</v>
      </c>
      <c r="C9" s="142"/>
      <c r="D9" s="105"/>
      <c r="E9" s="183">
        <f>'Tax calcs'!F28+'Tax calcs'!G28</f>
        <v>0</v>
      </c>
      <c r="F9" s="128"/>
      <c r="G9" s="105"/>
      <c r="H9" s="185">
        <f t="shared" si="0"/>
        <v>0</v>
      </c>
    </row>
    <row r="10" spans="1:8">
      <c r="A10" s="8"/>
      <c r="B10" s="8"/>
      <c r="C10" s="144"/>
      <c r="D10" s="145"/>
      <c r="E10" s="184">
        <f>SUM(E7:E9)</f>
        <v>-28.267213117048684</v>
      </c>
      <c r="F10" s="146"/>
      <c r="G10" s="134"/>
      <c r="H10" s="186">
        <f>SUM(H7:H9)</f>
        <v>-2.8267213117048682</v>
      </c>
    </row>
    <row r="11" spans="1:8">
      <c r="A11" s="7" t="s">
        <v>103</v>
      </c>
      <c r="B11" s="8"/>
      <c r="C11" s="65"/>
      <c r="D11" s="64"/>
      <c r="E11" s="55"/>
      <c r="F11" s="55"/>
      <c r="G11" s="33"/>
    </row>
    <row r="12" spans="1:8">
      <c r="B12" s="30" t="s">
        <v>93</v>
      </c>
      <c r="E12" s="66">
        <f>D5-C5</f>
        <v>-385.76261215594582</v>
      </c>
      <c r="H12" s="66">
        <f>G5-F5</f>
        <v>-38.576261215594585</v>
      </c>
    </row>
    <row r="13" spans="1:8">
      <c r="A13" s="33"/>
      <c r="B13" s="33" t="s">
        <v>94</v>
      </c>
      <c r="E13" s="66">
        <f>E12*Tax</f>
        <v>-108.01353140366484</v>
      </c>
      <c r="H13" s="66">
        <f>H12*Tax</f>
        <v>-10.801353140366485</v>
      </c>
    </row>
    <row r="14" spans="1:8">
      <c r="A14" s="33"/>
      <c r="B14" s="33" t="s">
        <v>64</v>
      </c>
      <c r="E14" s="66">
        <f>SUM('Tax calcs'!F39:O39)*Tax</f>
        <v>47.257702573961879</v>
      </c>
      <c r="H14" s="66">
        <f>F5/C5*E14</f>
        <v>4.7257702573961877</v>
      </c>
    </row>
    <row r="15" spans="1:8">
      <c r="A15" s="33"/>
      <c r="B15" s="33" t="s">
        <v>84</v>
      </c>
      <c r="E15" s="66">
        <f>-SUM('Tax calcs'!F23:O23)</f>
        <v>-14.178050954012415</v>
      </c>
      <c r="F15" s="6"/>
      <c r="H15" s="66">
        <f>F5/C5*E15</f>
        <v>-1.4178050954012416</v>
      </c>
    </row>
    <row r="16" spans="1:8">
      <c r="A16" s="33"/>
      <c r="B16" s="71" t="s">
        <v>92</v>
      </c>
      <c r="E16" s="66">
        <f>-'Cost allocation adjustment'!O27</f>
        <v>93.333333333333314</v>
      </c>
      <c r="F16" s="6"/>
      <c r="H16" s="66">
        <f>F5/C5*E16</f>
        <v>9.3333333333333321</v>
      </c>
    </row>
    <row r="17" spans="2:8">
      <c r="B17" s="71" t="s">
        <v>91</v>
      </c>
      <c r="E17" s="66">
        <f>E8</f>
        <v>-46.666666666666643</v>
      </c>
      <c r="H17" s="66">
        <f>F5/C5*E17</f>
        <v>-4.6666666666666643</v>
      </c>
    </row>
    <row r="18" spans="2:8">
      <c r="B18" s="71" t="s">
        <v>102</v>
      </c>
      <c r="E18" s="63">
        <f>SUM(E13:E17)</f>
        <v>-28.267213117048712</v>
      </c>
      <c r="H18" s="63">
        <f>SUM(H13:H17)</f>
        <v>-2.8267213117048708</v>
      </c>
    </row>
    <row r="21" spans="2:8">
      <c r="D21" s="6"/>
    </row>
    <row r="22" spans="2:8">
      <c r="D22" s="6"/>
    </row>
  </sheetData>
  <sheetProtection sheet="1" objects="1" scenarios="1"/>
  <mergeCells count="2">
    <mergeCell ref="C1:D1"/>
    <mergeCell ref="F1:G1"/>
  </mergeCells>
  <pageMargins left="0.31496062992125984" right="0.35433070866141736" top="0.31496062992125984" bottom="0.74803149606299213"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Instructions</vt:lpstr>
      <vt:lpstr>Tax calcs</vt:lpstr>
      <vt:lpstr>Comparison of cashflows</vt:lpstr>
      <vt:lpstr>Cost allocation adjustment</vt:lpstr>
      <vt:lpstr>Amortisation of sold asset</vt:lpstr>
      <vt:lpstr>DTB of sold asset</vt:lpstr>
      <vt:lpstr>debt</vt:lpstr>
      <vt:lpstr>DV</vt:lpstr>
      <vt:lpstr>leverage</vt:lpstr>
      <vt:lpstr>life</vt:lpstr>
      <vt:lpstr>Opex</vt:lpstr>
      <vt:lpstr>'Amortisation of sold asset'!Print_Area</vt:lpstr>
      <vt:lpstr>'Comparison of cashflows'!Print_Area</vt:lpstr>
      <vt:lpstr>'Cost allocation adjustment'!Print_Area</vt:lpstr>
      <vt:lpstr>'DTB of sold asset'!Print_Area</vt:lpstr>
      <vt:lpstr>'Tax calcs'!Print_Area</vt:lpstr>
      <vt:lpstr>reval</vt:lpstr>
      <vt:lpstr>Tax</vt:lpstr>
      <vt:lpstr>WACC</vt:lpstr>
    </vt:vector>
  </TitlesOfParts>
  <Company>PKFMJ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dc:creator>
  <cp:lastModifiedBy>pxr1</cp:lastModifiedBy>
  <cp:lastPrinted>2012-08-01T23:05:01Z</cp:lastPrinted>
  <dcterms:created xsi:type="dcterms:W3CDTF">2012-08-01T08:53:14Z</dcterms:created>
  <dcterms:modified xsi:type="dcterms:W3CDTF">2013-04-05T02:27:43Z</dcterms:modified>
</cp:coreProperties>
</file>